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5" activeTab="2"/>
  </bookViews>
  <sheets>
    <sheet name="Inschrijfformulier" sheetId="1" r:id="rId1"/>
    <sheet name="Factor" sheetId="2" r:id="rId2"/>
    <sheet name="Inschrijfformulier tijdstart" sheetId="3" r:id="rId3"/>
    <sheet name="Scherpe jachten zaterdag" sheetId="4" r:id="rId4"/>
    <sheet name="R&amp;P zaterdag" sheetId="5" r:id="rId5"/>
    <sheet name="4 uurs" sheetId="6" r:id="rId6"/>
    <sheet name="R&amp;P zondag" sheetId="7" r:id="rId7"/>
    <sheet name="Blad9" sheetId="8" r:id="rId8"/>
    <sheet name="Blad10" sheetId="9" r:id="rId9"/>
    <sheet name="Blad14" sheetId="10" r:id="rId10"/>
    <sheet name="Blad11" sheetId="11" r:id="rId11"/>
    <sheet name="Blad12" sheetId="12" r:id="rId12"/>
    <sheet name="Blad13" sheetId="13" r:id="rId13"/>
    <sheet name="Blad15" sheetId="14" r:id="rId14"/>
    <sheet name="Blad16" sheetId="15" r:id="rId15"/>
  </sheets>
  <definedNames>
    <definedName name="_xlnm.Print_Area" localSheetId="5">'4 uurs'!$B$1:$W$13</definedName>
    <definedName name="_xlnm.Print_Area" localSheetId="1">'Factor'!$B$4:$E$62</definedName>
    <definedName name="_xlnm.Print_Area" localSheetId="0">'Inschrijfformulier'!$H$6:$M$115</definedName>
    <definedName name="_xlnm.Print_Area" localSheetId="2">'Inschrijfformulier tijdstart'!$B$8:$R$116</definedName>
  </definedNames>
  <calcPr fullCalcOnLoad="1"/>
</workbook>
</file>

<file path=xl/sharedStrings.xml><?xml version="1.0" encoding="utf-8"?>
<sst xmlns="http://schemas.openxmlformats.org/spreadsheetml/2006/main" count="1602" uniqueCount="683">
  <si>
    <t>Handleiding wedstrijd programma</t>
  </si>
  <si>
    <t>Inschrijvingen</t>
  </si>
  <si>
    <t>Naam</t>
  </si>
  <si>
    <t>Boot</t>
  </si>
  <si>
    <t>Spi</t>
  </si>
  <si>
    <t>Rating</t>
  </si>
  <si>
    <t>Gev. tijd</t>
  </si>
  <si>
    <t>Berekende tijd</t>
  </si>
  <si>
    <t>Cor.fact</t>
  </si>
  <si>
    <t>Punten</t>
  </si>
  <si>
    <t xml:space="preserve"> </t>
  </si>
  <si>
    <t>Zspi</t>
  </si>
  <si>
    <t>Uren</t>
  </si>
  <si>
    <t>Min.</t>
  </si>
  <si>
    <t>Sec.</t>
  </si>
  <si>
    <t>in seconden</t>
  </si>
  <si>
    <t>Geef in kolom K aan "Ja" of "nee" spinaker, dit is de aanmelding.</t>
  </si>
  <si>
    <t>Baar d</t>
  </si>
  <si>
    <t>Duf34</t>
  </si>
  <si>
    <t>Victory</t>
  </si>
  <si>
    <t>Einde inschrijven</t>
  </si>
  <si>
    <t>Berkhout</t>
  </si>
  <si>
    <t>Jaguar 27</t>
  </si>
  <si>
    <t>Boemerang</t>
  </si>
  <si>
    <t>Boer d</t>
  </si>
  <si>
    <t>Duf arpe</t>
  </si>
  <si>
    <t>Finishen</t>
  </si>
  <si>
    <t>Boerdijk</t>
  </si>
  <si>
    <t>Lyoko</t>
  </si>
  <si>
    <t>Friendship 28</t>
  </si>
  <si>
    <t>Herhaal dit voor ieder schip dat finisht</t>
  </si>
  <si>
    <t>Bossen</t>
  </si>
  <si>
    <t>Vic 28</t>
  </si>
  <si>
    <t>Finte</t>
  </si>
  <si>
    <t>Bot</t>
  </si>
  <si>
    <t>She 37</t>
  </si>
  <si>
    <t>Fidelta</t>
  </si>
  <si>
    <t>Bovenhuis</t>
  </si>
  <si>
    <t>Noorvb</t>
  </si>
  <si>
    <t>Breebaart</t>
  </si>
  <si>
    <t>Dehl22</t>
  </si>
  <si>
    <t>Broers</t>
  </si>
  <si>
    <t>Alumaat</t>
  </si>
  <si>
    <t>Bruin</t>
  </si>
  <si>
    <t>Cata 36</t>
  </si>
  <si>
    <t>Bruin d</t>
  </si>
  <si>
    <t>Bus</t>
  </si>
  <si>
    <t>Doornbos</t>
  </si>
  <si>
    <t>Drunen</t>
  </si>
  <si>
    <t>Eikelenboom</t>
  </si>
  <si>
    <t>WS730</t>
  </si>
  <si>
    <t>Kou-li-tow</t>
  </si>
  <si>
    <t>Foppen</t>
  </si>
  <si>
    <t>Bianca 111</t>
  </si>
  <si>
    <t>Gabriella</t>
  </si>
  <si>
    <t>Goudsblom</t>
  </si>
  <si>
    <t>Gutker</t>
  </si>
  <si>
    <t>Haneberg</t>
  </si>
  <si>
    <t>F&amp;F110</t>
  </si>
  <si>
    <t>F&amp;F65</t>
  </si>
  <si>
    <t>Harder</t>
  </si>
  <si>
    <t>Simonis 485</t>
  </si>
  <si>
    <t>Lovely blue</t>
  </si>
  <si>
    <t>Have v.d.</t>
  </si>
  <si>
    <t>First 29</t>
  </si>
  <si>
    <t>Gaia</t>
  </si>
  <si>
    <t>Heide vd</t>
  </si>
  <si>
    <t>Sigma33</t>
  </si>
  <si>
    <t>Andromeda</t>
  </si>
  <si>
    <t>Hilhorst</t>
  </si>
  <si>
    <t>GK 24</t>
  </si>
  <si>
    <t>Houter</t>
  </si>
  <si>
    <t>Vic1044</t>
  </si>
  <si>
    <t>Sneeuwgans</t>
  </si>
  <si>
    <t>Huitinga</t>
  </si>
  <si>
    <t>Kliever</t>
  </si>
  <si>
    <t>Jong</t>
  </si>
  <si>
    <t>Etap22</t>
  </si>
  <si>
    <t>Maatje</t>
  </si>
  <si>
    <t>Kemmerlingh</t>
  </si>
  <si>
    <t>Nor34</t>
  </si>
  <si>
    <t>Derby</t>
  </si>
  <si>
    <t>Klein</t>
  </si>
  <si>
    <t>Draak</t>
  </si>
  <si>
    <t>Kleinhuis</t>
  </si>
  <si>
    <t>Optima 101</t>
  </si>
  <si>
    <t>Koeman</t>
  </si>
  <si>
    <t>J24</t>
  </si>
  <si>
    <t xml:space="preserve">Mevrouw de Jong </t>
  </si>
  <si>
    <t>F&amp;F 65</t>
  </si>
  <si>
    <t>Kolibrie 560</t>
  </si>
  <si>
    <t>Koning</t>
  </si>
  <si>
    <t>Trintella</t>
  </si>
  <si>
    <t>White Fighter</t>
  </si>
  <si>
    <t>Kool</t>
  </si>
  <si>
    <t>Contest 31</t>
  </si>
  <si>
    <t>Bassaroet</t>
  </si>
  <si>
    <t>Kramer</t>
  </si>
  <si>
    <t>Nacra 6.0</t>
  </si>
  <si>
    <t>Laan</t>
  </si>
  <si>
    <t>Lakwijk v.</t>
  </si>
  <si>
    <t>cat</t>
  </si>
  <si>
    <t>Bananas</t>
  </si>
  <si>
    <t>Landgraf</t>
  </si>
  <si>
    <t>Hunt310</t>
  </si>
  <si>
    <t>Meinster</t>
  </si>
  <si>
    <t>Jeanneau</t>
  </si>
  <si>
    <t>Miedema</t>
  </si>
  <si>
    <t>Dehl80</t>
  </si>
  <si>
    <t>Minnes</t>
  </si>
  <si>
    <t>FS23</t>
  </si>
  <si>
    <t>Meerwind</t>
  </si>
  <si>
    <t>Munnik d</t>
  </si>
  <si>
    <t>Schouw</t>
  </si>
  <si>
    <t>Muus</t>
  </si>
  <si>
    <t>Grinde</t>
  </si>
  <si>
    <t>Namink</t>
  </si>
  <si>
    <t>Ballad</t>
  </si>
  <si>
    <t>Lidia</t>
  </si>
  <si>
    <t>Noordermeer</t>
  </si>
  <si>
    <t>Phant30</t>
  </si>
  <si>
    <t>Pekelharing</t>
  </si>
  <si>
    <t>Cat</t>
  </si>
  <si>
    <t>Riecker</t>
  </si>
  <si>
    <t>Sjol</t>
  </si>
  <si>
    <t>Vrouwe Pieternella</t>
  </si>
  <si>
    <t>Rijt v</t>
  </si>
  <si>
    <t>Dufour 3800</t>
  </si>
  <si>
    <t>Rodenhuis</t>
  </si>
  <si>
    <t>South 28</t>
  </si>
  <si>
    <t>Vlieter</t>
  </si>
  <si>
    <t>Ronde d.</t>
  </si>
  <si>
    <t>Max84</t>
  </si>
  <si>
    <t>Ruiter</t>
  </si>
  <si>
    <t>Swan 391</t>
  </si>
  <si>
    <t>Quadra</t>
  </si>
  <si>
    <t>Rutten</t>
  </si>
  <si>
    <t>FS35</t>
  </si>
  <si>
    <t>Schipper</t>
  </si>
  <si>
    <t>WS 28</t>
  </si>
  <si>
    <t>Uitvreter</t>
  </si>
  <si>
    <t>Schreuder</t>
  </si>
  <si>
    <t>Schut</t>
  </si>
  <si>
    <t>vd St 34</t>
  </si>
  <si>
    <t>Yol</t>
  </si>
  <si>
    <t>Sierhuis</t>
  </si>
  <si>
    <t>Slooff</t>
  </si>
  <si>
    <t>Fr.ship33</t>
  </si>
  <si>
    <t>Tappel</t>
  </si>
  <si>
    <t>Nor37</t>
  </si>
  <si>
    <t>Terpstra</t>
  </si>
  <si>
    <t>Nor</t>
  </si>
  <si>
    <t>Thiel vd</t>
  </si>
  <si>
    <t>Pretender</t>
  </si>
  <si>
    <t>Tuinte</t>
  </si>
  <si>
    <t>Sunwind 27</t>
  </si>
  <si>
    <t>Blue Stripes</t>
  </si>
  <si>
    <t>Verweij</t>
  </si>
  <si>
    <t>Vries d</t>
  </si>
  <si>
    <t>vVelzen</t>
  </si>
  <si>
    <t>E-Boot</t>
  </si>
  <si>
    <t>Schuiver</t>
  </si>
  <si>
    <t>Wenning</t>
  </si>
  <si>
    <t>HBR</t>
  </si>
  <si>
    <t>Impuls</t>
  </si>
  <si>
    <t>Weterings</t>
  </si>
  <si>
    <t>Breon</t>
  </si>
  <si>
    <t>Witte heks</t>
  </si>
  <si>
    <t>Wouters</t>
  </si>
  <si>
    <t>Targa32</t>
  </si>
  <si>
    <t>Targat</t>
  </si>
  <si>
    <t>Starttijd</t>
  </si>
  <si>
    <t>Uur</t>
  </si>
  <si>
    <t>Min</t>
  </si>
  <si>
    <t>Let op dit werkblad niet sorteren</t>
  </si>
  <si>
    <t>SW.Rating</t>
  </si>
  <si>
    <t>Andijk Rat.</t>
  </si>
  <si>
    <t>Corr.factor</t>
  </si>
  <si>
    <t>Uitslag 1</t>
  </si>
  <si>
    <t>Uitslag 2</t>
  </si>
  <si>
    <t>Uitslag 3</t>
  </si>
  <si>
    <t>Uitslag 4</t>
  </si>
  <si>
    <t>Uitslag 5</t>
  </si>
  <si>
    <t>Uitslag 6</t>
  </si>
  <si>
    <t>Uitslag 7</t>
  </si>
  <si>
    <t>Uitslag 8</t>
  </si>
  <si>
    <t>vd Stad 40</t>
  </si>
  <si>
    <t>Lakwijk</t>
  </si>
  <si>
    <t>Janeau</t>
  </si>
  <si>
    <t>Rieker</t>
  </si>
  <si>
    <t>Swan</t>
  </si>
  <si>
    <t>Vries</t>
  </si>
  <si>
    <t>Targa 32</t>
  </si>
  <si>
    <t>Konigh s</t>
  </si>
  <si>
    <t>Trntella</t>
  </si>
  <si>
    <t>Friendship33</t>
  </si>
  <si>
    <t>vdHave</t>
  </si>
  <si>
    <t>Bianca111</t>
  </si>
  <si>
    <t>Gemeten tijd</t>
  </si>
  <si>
    <t>Aangemeld</t>
  </si>
  <si>
    <t>Ver.</t>
  </si>
  <si>
    <t>Naam schip</t>
  </si>
  <si>
    <t>Type schip</t>
  </si>
  <si>
    <t>Kenmerken</t>
  </si>
  <si>
    <t>Rat.</t>
  </si>
  <si>
    <t>A</t>
  </si>
  <si>
    <t>Victoire 28</t>
  </si>
  <si>
    <t>Bosuwa</t>
  </si>
  <si>
    <t>Reverie</t>
  </si>
  <si>
    <t>Reve de Mer</t>
  </si>
  <si>
    <t>M</t>
  </si>
  <si>
    <t>Braber</t>
  </si>
  <si>
    <t>Sandpiper</t>
  </si>
  <si>
    <t>Contessa 26</t>
  </si>
  <si>
    <t>Co 276</t>
  </si>
  <si>
    <t>dJong</t>
  </si>
  <si>
    <t>Etap 22</t>
  </si>
  <si>
    <t>Flinterman</t>
  </si>
  <si>
    <t>Guldenroos</t>
  </si>
  <si>
    <t>Edel4</t>
  </si>
  <si>
    <t>Hoornweg</t>
  </si>
  <si>
    <t>Ree</t>
  </si>
  <si>
    <t>Victoire 22</t>
  </si>
  <si>
    <t>Vijfen en zessen</t>
  </si>
  <si>
    <t>Koorn</t>
  </si>
  <si>
    <t>Cornicky</t>
  </si>
  <si>
    <t>Waarschip 1/4</t>
  </si>
  <si>
    <t>Schenk</t>
  </si>
  <si>
    <t>Janet</t>
  </si>
  <si>
    <t>Jaguar 22</t>
  </si>
  <si>
    <t>Edel 4</t>
  </si>
  <si>
    <t>Verburg</t>
  </si>
  <si>
    <t>Zilvermeeuw</t>
  </si>
  <si>
    <t>NED2372</t>
  </si>
  <si>
    <t>Vogelsang</t>
  </si>
  <si>
    <t>Compass Rose</t>
  </si>
  <si>
    <t>Wagenaar</t>
  </si>
  <si>
    <t>Dappere J</t>
  </si>
  <si>
    <t>Ast.v</t>
  </si>
  <si>
    <t>Stern</t>
  </si>
  <si>
    <t>Jon 33</t>
  </si>
  <si>
    <t>Beuger</t>
  </si>
  <si>
    <t>WOP</t>
  </si>
  <si>
    <t>Dehler 31</t>
  </si>
  <si>
    <t>Windsong</t>
  </si>
  <si>
    <t>Li-jo-ko</t>
  </si>
  <si>
    <t>Caribian 40</t>
  </si>
  <si>
    <t>She 36</t>
  </si>
  <si>
    <t>NED 2947</t>
  </si>
  <si>
    <t>Colijn</t>
  </si>
  <si>
    <t>Crackejack</t>
  </si>
  <si>
    <t>Dufour safari 28</t>
  </si>
  <si>
    <t>H1590</t>
  </si>
  <si>
    <t>d.Boer</t>
  </si>
  <si>
    <t>Sabeth</t>
  </si>
  <si>
    <t>Dufour Aperse</t>
  </si>
  <si>
    <t>Dalmolen</t>
  </si>
  <si>
    <t>Aeolus</t>
  </si>
  <si>
    <t>Mum 30</t>
  </si>
  <si>
    <t>Carter 30</t>
  </si>
  <si>
    <t>Grotenbreg</t>
  </si>
  <si>
    <t>Deler</t>
  </si>
  <si>
    <t>DB2</t>
  </si>
  <si>
    <t>NED5618</t>
  </si>
  <si>
    <t>Fast Friends</t>
  </si>
  <si>
    <t>FF65</t>
  </si>
  <si>
    <t>Heide.vd</t>
  </si>
  <si>
    <t>Sigma 33</t>
  </si>
  <si>
    <t>Homma</t>
  </si>
  <si>
    <t>Pinta</t>
  </si>
  <si>
    <t>Nicholson 35</t>
  </si>
  <si>
    <t>Hoogsteder</t>
  </si>
  <si>
    <t>Ran</t>
  </si>
  <si>
    <t>Hoogterp</t>
  </si>
  <si>
    <t>Spandrift</t>
  </si>
  <si>
    <t>Stad 34</t>
  </si>
  <si>
    <t>Staal milti</t>
  </si>
  <si>
    <t>Albin Ballad</t>
  </si>
  <si>
    <t>Reigel</t>
  </si>
  <si>
    <t>Blub</t>
  </si>
  <si>
    <t>BD2</t>
  </si>
  <si>
    <t>E2220</t>
  </si>
  <si>
    <t>Rijkenberg</t>
  </si>
  <si>
    <t>Sauternes</t>
  </si>
  <si>
    <t>Sweden 390</t>
  </si>
  <si>
    <t>NED5888</t>
  </si>
  <si>
    <t>Schaaf</t>
  </si>
  <si>
    <t>Waarschip 28</t>
  </si>
  <si>
    <t>De Uitvreter</t>
  </si>
  <si>
    <t>Waarschp 28</t>
  </si>
  <si>
    <t>NED 5925</t>
  </si>
  <si>
    <t>Egalite</t>
  </si>
  <si>
    <t>Jouet 920</t>
  </si>
  <si>
    <t>E</t>
  </si>
  <si>
    <t>Sweep</t>
  </si>
  <si>
    <t>Fanciful</t>
  </si>
  <si>
    <t>Thiel.vd</t>
  </si>
  <si>
    <t>NED5533</t>
  </si>
  <si>
    <t>Vliet.v</t>
  </si>
  <si>
    <t>Vagueur</t>
  </si>
  <si>
    <t>Winner 9.5</t>
  </si>
  <si>
    <t>Grote Kaap</t>
  </si>
  <si>
    <t>Dehler 36 DB</t>
  </si>
  <si>
    <t>Drie Gebroeders</t>
  </si>
  <si>
    <t>Pionier 10</t>
  </si>
  <si>
    <t>Maximum</t>
  </si>
  <si>
    <t>B1131</t>
  </si>
  <si>
    <t>Inschrijfformulier R&amp;P</t>
  </si>
  <si>
    <t>Totaal</t>
  </si>
  <si>
    <t>Gemeld</t>
  </si>
  <si>
    <t>Drontman</t>
  </si>
  <si>
    <t>Falise</t>
  </si>
  <si>
    <t>Grundel</t>
  </si>
  <si>
    <t>Moes</t>
  </si>
  <si>
    <t>Pannemans</t>
  </si>
  <si>
    <t>SJol</t>
  </si>
  <si>
    <t>Resultaat vorige dag</t>
  </si>
  <si>
    <t>Hos</t>
  </si>
  <si>
    <t>Bull 7000</t>
  </si>
  <si>
    <t>Benet 25</t>
  </si>
  <si>
    <t>IF</t>
  </si>
  <si>
    <t>dBoois</t>
  </si>
  <si>
    <t>Carina 600</t>
  </si>
  <si>
    <t>Potters</t>
  </si>
  <si>
    <t>Pionier</t>
  </si>
  <si>
    <t>ACE</t>
  </si>
  <si>
    <t>De drie gebroeders</t>
  </si>
  <si>
    <t>Elan 40</t>
  </si>
  <si>
    <t>Elan40</t>
  </si>
  <si>
    <t>Bluenose</t>
  </si>
  <si>
    <t>Hobby cat</t>
  </si>
  <si>
    <t>Woody de Woodpacker</t>
  </si>
  <si>
    <t>Waarschip 600</t>
  </si>
  <si>
    <t>dSmet</t>
  </si>
  <si>
    <t>Desire</t>
  </si>
  <si>
    <t>Spirit28</t>
  </si>
  <si>
    <t>vRijt</t>
  </si>
  <si>
    <t>Cleobul</t>
  </si>
  <si>
    <t>Cremer</t>
  </si>
  <si>
    <t>Shanty</t>
  </si>
  <si>
    <t>Dehl. 37 CWS</t>
  </si>
  <si>
    <t>De Schuiver</t>
  </si>
  <si>
    <t>E-boot</t>
  </si>
  <si>
    <t xml:space="preserve">Inschrijfformulier wedstrijd Andijk Maritiem scherpe jachten </t>
  </si>
  <si>
    <t>Schaafvd</t>
  </si>
  <si>
    <t>WS600</t>
  </si>
  <si>
    <t>Woody de W</t>
  </si>
  <si>
    <t>Smetd</t>
  </si>
  <si>
    <t>Dehl.37CWS</t>
  </si>
  <si>
    <t>Dehl.CWS37</t>
  </si>
  <si>
    <t>Westendorp</t>
  </si>
  <si>
    <t>Rush</t>
  </si>
  <si>
    <t>Elnino</t>
  </si>
  <si>
    <t>Meijlink</t>
  </si>
  <si>
    <t>Mollie</t>
  </si>
  <si>
    <t>Lady may</t>
  </si>
  <si>
    <t>Beer d</t>
  </si>
  <si>
    <t>Pion</t>
  </si>
  <si>
    <t>Daydreamer</t>
  </si>
  <si>
    <t>Haneberg Jr</t>
  </si>
  <si>
    <t>Compis</t>
  </si>
  <si>
    <t>Uitterdijk</t>
  </si>
  <si>
    <t>Cash Eau</t>
  </si>
  <si>
    <t>Schaaf vd</t>
  </si>
  <si>
    <t>Jager</t>
  </si>
  <si>
    <t>Stern 32</t>
  </si>
  <si>
    <t>Wijngaarden</t>
  </si>
  <si>
    <t>Bullet 7</t>
  </si>
  <si>
    <t>Bull7000</t>
  </si>
  <si>
    <t>Wetering</t>
  </si>
  <si>
    <t>Dijk v</t>
  </si>
  <si>
    <t>Ciao bella</t>
  </si>
  <si>
    <t>Dufour 34</t>
  </si>
  <si>
    <t>Blom</t>
  </si>
  <si>
    <t>Cape Cox</t>
  </si>
  <si>
    <t>X362</t>
  </si>
  <si>
    <t>Fast food</t>
  </si>
  <si>
    <t>FF95</t>
  </si>
  <si>
    <t>Smet d</t>
  </si>
  <si>
    <t>Beer</t>
  </si>
  <si>
    <t>Daydream</t>
  </si>
  <si>
    <t>Peelen</t>
  </si>
  <si>
    <t>Zanzibar</t>
  </si>
  <si>
    <t>First 35</t>
  </si>
  <si>
    <t>Meijling</t>
  </si>
  <si>
    <t>Dutour 25</t>
  </si>
  <si>
    <t>Dop</t>
  </si>
  <si>
    <t>Redemption</t>
  </si>
  <si>
    <t>Dehler 35</t>
  </si>
  <si>
    <t xml:space="preserve">Pion </t>
  </si>
  <si>
    <t>Lemmeraak</t>
  </si>
  <si>
    <t>Ruys</t>
  </si>
  <si>
    <t>WS 660</t>
  </si>
  <si>
    <t>WS660</t>
  </si>
  <si>
    <t>Pinto</t>
  </si>
  <si>
    <t>Kruse</t>
  </si>
  <si>
    <t>Jeaneau Rush</t>
  </si>
  <si>
    <t>Jeanneau Rush</t>
  </si>
  <si>
    <t>Gwaihir</t>
  </si>
  <si>
    <t>vdStadt 40</t>
  </si>
  <si>
    <t>vd Stadt 34</t>
  </si>
  <si>
    <t>Cash FLeau</t>
  </si>
  <si>
    <t>Griend</t>
  </si>
  <si>
    <t>Cash Fleau</t>
  </si>
  <si>
    <t>Wijngaarden v</t>
  </si>
  <si>
    <t>Bullet</t>
  </si>
  <si>
    <t>Boersen</t>
  </si>
  <si>
    <t>Dehler 34</t>
  </si>
  <si>
    <t>Hanse 312</t>
  </si>
  <si>
    <t>Hermsen</t>
  </si>
  <si>
    <t>Dehler 36</t>
  </si>
  <si>
    <t>Hoekstra</t>
  </si>
  <si>
    <t>S.Diamio</t>
  </si>
  <si>
    <t>Patjo</t>
  </si>
  <si>
    <t>Super Diamio</t>
  </si>
  <si>
    <t>Purpelrain</t>
  </si>
  <si>
    <t>Karreman</t>
  </si>
  <si>
    <t>Dehler34</t>
  </si>
  <si>
    <t>Tertius</t>
  </si>
  <si>
    <t>Weever</t>
  </si>
  <si>
    <t>Granada 31</t>
  </si>
  <si>
    <t>Zwitselaar</t>
  </si>
  <si>
    <t>Comfortina 38</t>
  </si>
  <si>
    <t>Comfotina 38</t>
  </si>
  <si>
    <t>La nostra</t>
  </si>
  <si>
    <t>Strunck</t>
  </si>
  <si>
    <t>Springtij</t>
  </si>
  <si>
    <t>Rode d.</t>
  </si>
  <si>
    <t>Hunter</t>
  </si>
  <si>
    <t>Marsjol</t>
  </si>
  <si>
    <t>Baas</t>
  </si>
  <si>
    <t>Light air</t>
  </si>
  <si>
    <t>Walstra</t>
  </si>
  <si>
    <t>Stormvogel</t>
  </si>
  <si>
    <t>16.90</t>
  </si>
  <si>
    <t>Classic Addy</t>
  </si>
  <si>
    <t>Deubel</t>
  </si>
  <si>
    <t>Hurley 800</t>
  </si>
  <si>
    <t>Time less</t>
  </si>
  <si>
    <t>Te laat</t>
  </si>
  <si>
    <t>Gevaren rakken in mijlen</t>
  </si>
  <si>
    <t>Rumping</t>
  </si>
  <si>
    <t>Forgetni</t>
  </si>
  <si>
    <t>Sturkenboom</t>
  </si>
  <si>
    <t>Symphonie</t>
  </si>
  <si>
    <t>HB34</t>
  </si>
  <si>
    <t xml:space="preserve">Ratings voor volgende wedstrijd </t>
  </si>
  <si>
    <t>Schaap</t>
  </si>
  <si>
    <t>Njord</t>
  </si>
  <si>
    <t>Olij</t>
  </si>
  <si>
    <t>Fugue</t>
  </si>
  <si>
    <t>Zijlstra</t>
  </si>
  <si>
    <t>Bavaria 30</t>
  </si>
  <si>
    <t>Ocean 22</t>
  </si>
  <si>
    <t>Westerbos</t>
  </si>
  <si>
    <t>Bavaria 44</t>
  </si>
  <si>
    <t>Hays</t>
  </si>
  <si>
    <t>Dehler 36 cws</t>
  </si>
  <si>
    <t>Blue Dream</t>
  </si>
  <si>
    <t>Parel</t>
  </si>
  <si>
    <t>Michels</t>
  </si>
  <si>
    <t>Piewiet 930</t>
  </si>
  <si>
    <t>Koster</t>
  </si>
  <si>
    <t>Sabina</t>
  </si>
  <si>
    <t>Eos</t>
  </si>
  <si>
    <t>Easy living</t>
  </si>
  <si>
    <t>Wamel</t>
  </si>
  <si>
    <t>Contrast 36,2</t>
  </si>
  <si>
    <t>Weerlicht</t>
  </si>
  <si>
    <t>Kick</t>
  </si>
  <si>
    <t>Double Dutch</t>
  </si>
  <si>
    <t>Saffier</t>
  </si>
  <si>
    <t>WS740</t>
  </si>
  <si>
    <t>Rode de</t>
  </si>
  <si>
    <t>Hunter F1</t>
  </si>
  <si>
    <t>Nieuwe Koers</t>
  </si>
  <si>
    <t>Twinkle</t>
  </si>
  <si>
    <t>Dehler 28</t>
  </si>
  <si>
    <t>Black and White</t>
  </si>
  <si>
    <t>Uiterdijk</t>
  </si>
  <si>
    <t>Bavaria 37</t>
  </si>
  <si>
    <t>v Diepen</t>
  </si>
  <si>
    <t>WS 740</t>
  </si>
  <si>
    <t>WS 600</t>
  </si>
  <si>
    <t>Diepen v.</t>
  </si>
  <si>
    <t>WS720</t>
  </si>
  <si>
    <t>Nieuwe koers</t>
  </si>
  <si>
    <t>Bakker</t>
  </si>
  <si>
    <t>Rossini</t>
  </si>
  <si>
    <t>Dehler 80</t>
  </si>
  <si>
    <t>Freindship 26</t>
  </si>
  <si>
    <t>Benneteau 323</t>
  </si>
  <si>
    <t>Vries de</t>
  </si>
  <si>
    <t>Donna</t>
  </si>
  <si>
    <t>Rijt van</t>
  </si>
  <si>
    <t>Klapschroef</t>
  </si>
  <si>
    <t>Klapschoef</t>
  </si>
  <si>
    <t>Hanse 350</t>
  </si>
  <si>
    <t>Klapschroef, geen gr voorzeilen</t>
  </si>
  <si>
    <t>Driebladschroef, korte kiel</t>
  </si>
  <si>
    <t>Catalina 36</t>
  </si>
  <si>
    <t>Neefjes</t>
  </si>
  <si>
    <t>WS 1/4</t>
  </si>
  <si>
    <t>Cras-factus-est</t>
  </si>
  <si>
    <t>Anja</t>
  </si>
  <si>
    <t>Stingray</t>
  </si>
  <si>
    <t>Trifonio</t>
  </si>
  <si>
    <t>Salona 42</t>
  </si>
  <si>
    <t>S 42</t>
  </si>
  <si>
    <t>Neuvel</t>
  </si>
  <si>
    <t>Centaur</t>
  </si>
  <si>
    <t>Roelofsen</t>
  </si>
  <si>
    <t>Marieholm 26</t>
  </si>
  <si>
    <t>Santema</t>
  </si>
  <si>
    <t>Dehler Duetta</t>
  </si>
  <si>
    <t>Hamelen</t>
  </si>
  <si>
    <t>Watergeus</t>
  </si>
  <si>
    <t>Makker</t>
  </si>
  <si>
    <t>Thertius</t>
  </si>
  <si>
    <t xml:space="preserve">Inschrijving 4 UREN VAN ANDIJK 2010 </t>
  </si>
  <si>
    <t xml:space="preserve">A </t>
  </si>
  <si>
    <t>Waarschip 28LD</t>
  </si>
  <si>
    <t>Boersma</t>
  </si>
  <si>
    <t>Onrust</t>
  </si>
  <si>
    <t>Baroudeur</t>
  </si>
  <si>
    <t>Laag</t>
  </si>
  <si>
    <t>Tîjhuis</t>
  </si>
  <si>
    <t>Defender 27</t>
  </si>
  <si>
    <t>Schol</t>
  </si>
  <si>
    <t>Spaans</t>
  </si>
  <si>
    <t>Friendship 35</t>
  </si>
  <si>
    <t>Sweden</t>
  </si>
  <si>
    <t>Gulliver</t>
  </si>
  <si>
    <t>Tijhuis</t>
  </si>
  <si>
    <t>Arta</t>
  </si>
  <si>
    <t>Blazing Moon</t>
  </si>
  <si>
    <t>Quint</t>
  </si>
  <si>
    <t>Sweden 54</t>
  </si>
  <si>
    <t>Dante</t>
  </si>
  <si>
    <t>Weta</t>
  </si>
  <si>
    <t>Vogelenzang</t>
  </si>
  <si>
    <t>Brattinga</t>
  </si>
  <si>
    <t>Winner 1010</t>
  </si>
  <si>
    <t>vIkelen</t>
  </si>
  <si>
    <t>Klapschroef,klein voorzeil, laminaat</t>
  </si>
  <si>
    <t>vBlerk</t>
  </si>
  <si>
    <t>Baloega</t>
  </si>
  <si>
    <t>Ikelen v</t>
  </si>
  <si>
    <t>Blerk v</t>
  </si>
  <si>
    <t>Freya</t>
  </si>
  <si>
    <t>Winner1010</t>
  </si>
  <si>
    <t>Oceanis 31</t>
  </si>
  <si>
    <t>La Facon</t>
  </si>
  <si>
    <t>Blue Jy</t>
  </si>
  <si>
    <t>J22</t>
  </si>
  <si>
    <t>Skua</t>
  </si>
  <si>
    <t>S9</t>
  </si>
  <si>
    <t>vz 2 strepen</t>
  </si>
  <si>
    <t>golfjes</t>
  </si>
  <si>
    <t>FS</t>
  </si>
  <si>
    <t>D34</t>
  </si>
  <si>
    <t>LUX 360</t>
  </si>
  <si>
    <t>Koersveld</t>
  </si>
  <si>
    <t>H13</t>
  </si>
  <si>
    <t>H753</t>
  </si>
  <si>
    <t>Hedrion</t>
  </si>
  <si>
    <t>Stut</t>
  </si>
  <si>
    <t xml:space="preserve">Klapschroef en laminaatzeilen </t>
  </si>
  <si>
    <t>Oudheusden</t>
  </si>
  <si>
    <t>Kolibrie 900</t>
  </si>
  <si>
    <t>Geus de</t>
  </si>
  <si>
    <t>Jouet 24</t>
  </si>
  <si>
    <t>Jansen</t>
  </si>
  <si>
    <t>Galwayhooker</t>
  </si>
  <si>
    <t>Zweep</t>
  </si>
  <si>
    <t>Blue Fox</t>
  </si>
  <si>
    <t>Koelebries</t>
  </si>
  <si>
    <t>Motion of the Ocean</t>
  </si>
  <si>
    <t xml:space="preserve">Geus de </t>
  </si>
  <si>
    <t>Cinemare</t>
  </si>
  <si>
    <t>Klapschroef+ 10cm diepgang</t>
  </si>
  <si>
    <t xml:space="preserve">Klapschroef  </t>
  </si>
  <si>
    <t>classe mini</t>
  </si>
  <si>
    <t>Boatsje</t>
  </si>
  <si>
    <t>Dehler41</t>
  </si>
  <si>
    <t>Miles for Justice</t>
  </si>
  <si>
    <t>Etap 28</t>
  </si>
  <si>
    <t>Defuga</t>
  </si>
  <si>
    <t>Enter 360</t>
  </si>
  <si>
    <t xml:space="preserve">Vul  de kolommen O, P,Q resp. met de gevaren uren,  minuten en seconden.  </t>
  </si>
  <si>
    <t xml:space="preserve">Vul  de kolommen S,T,U resp. met de gevaren uren,  minuten en seconden.  </t>
  </si>
  <si>
    <t>Geef in kolom P aan "Ja" of "nee" spinaker, dit is de aanmelding.</t>
  </si>
  <si>
    <t>Friendship 26</t>
  </si>
  <si>
    <t>Heijkoop</t>
  </si>
  <si>
    <t>Davidson 40</t>
  </si>
  <si>
    <t>Canterbury</t>
  </si>
  <si>
    <t>2 duw</t>
  </si>
  <si>
    <t>klapschroef, folie</t>
  </si>
  <si>
    <t>Otter</t>
  </si>
  <si>
    <t>Bon Vivant</t>
  </si>
  <si>
    <t>Hol</t>
  </si>
  <si>
    <t>Etap 30</t>
  </si>
  <si>
    <t>Tegarre</t>
  </si>
  <si>
    <t>Gevaren tijd</t>
  </si>
  <si>
    <t>Hanse 325</t>
  </si>
  <si>
    <t>klapschroef, folie, geen gr voorzeilen + 1 duw</t>
  </si>
  <si>
    <t>1 duw</t>
  </si>
  <si>
    <t>JV 24</t>
  </si>
  <si>
    <t>Marle v</t>
  </si>
  <si>
    <t>Westerly 24</t>
  </si>
  <si>
    <t>V24</t>
  </si>
  <si>
    <t>Blue reflexion</t>
  </si>
  <si>
    <t>Duvel</t>
  </si>
  <si>
    <t xml:space="preserve">Uiterdijk  </t>
  </si>
  <si>
    <t>WS 5.7</t>
  </si>
  <si>
    <t>Houtervan</t>
  </si>
  <si>
    <t xml:space="preserve">Bij DNF, selecteer cel kol S, "Del", input "DNF". </t>
  </si>
  <si>
    <t>Selecteer kol H tot en S vanaf rij 6 tot rij met "nog niet aanwezig , sorteer kol S oplopend.</t>
  </si>
  <si>
    <t xml:space="preserve">Bij DNF, selecteer cel in kol W,  input "DNF". </t>
  </si>
  <si>
    <t>Selecteer kol H tot en met W vanaf rij 6 tot rij met "nog niet aanwezig ," sorteer kol V oplopend.</t>
  </si>
  <si>
    <t>Bouwma</t>
  </si>
  <si>
    <t>Selecteer kol H tot en met W vanaf rij 6, sorteer kol W oplopend.</t>
  </si>
  <si>
    <t>Selecteer kol H tot en met S vanaf rij 6, ga naar "Data" en sorteer kol S oplopend.</t>
  </si>
  <si>
    <t>Buys</t>
  </si>
  <si>
    <t>Dehler 29 JV</t>
  </si>
  <si>
    <t>Mariholm IF</t>
  </si>
  <si>
    <t>Viegers</t>
  </si>
  <si>
    <t>Wantij 30</t>
  </si>
  <si>
    <t>d'Helios</t>
  </si>
  <si>
    <t>Bever</t>
  </si>
  <si>
    <t>Wantij</t>
  </si>
  <si>
    <t>Greutz</t>
  </si>
  <si>
    <t>Bavaria 808</t>
  </si>
  <si>
    <t>Wognum</t>
  </si>
  <si>
    <t>Hanse 355</t>
  </si>
  <si>
    <t>Full Grown Mann</t>
  </si>
  <si>
    <t>Geurtz</t>
  </si>
  <si>
    <t>Painterspassion</t>
  </si>
  <si>
    <t>Honderdacht</t>
  </si>
  <si>
    <t>Discovery</t>
  </si>
  <si>
    <t>Zilte zoen</t>
  </si>
  <si>
    <t>Saffier 650</t>
  </si>
  <si>
    <t>Roethaan</t>
  </si>
  <si>
    <t>Lingen v.</t>
  </si>
  <si>
    <t>Vivat</t>
  </si>
  <si>
    <t>Spirit 28</t>
  </si>
  <si>
    <t>Vleugelkiel,duwtje in de rug</t>
  </si>
  <si>
    <t>klapschroef, rolgenua</t>
  </si>
  <si>
    <t>Feeling 960</t>
  </si>
  <si>
    <t>Sinne</t>
  </si>
  <si>
    <t>Dehler 35 cws</t>
  </si>
  <si>
    <t>Simply Red</t>
  </si>
  <si>
    <t>Haakman</t>
  </si>
  <si>
    <t>FS 23</t>
  </si>
  <si>
    <t>Smeele</t>
  </si>
  <si>
    <t>Waarschip870+</t>
  </si>
  <si>
    <t>Sybarite</t>
  </si>
  <si>
    <t>Weerdenburg</t>
  </si>
  <si>
    <t>Waarschip900+</t>
  </si>
  <si>
    <t>Salute</t>
  </si>
  <si>
    <t>Haakman e.a.</t>
  </si>
  <si>
    <t>Attila32</t>
  </si>
  <si>
    <t>De Graaf</t>
  </si>
  <si>
    <t>Stork</t>
  </si>
  <si>
    <t>Sun Fast 2000</t>
  </si>
  <si>
    <t>Crêpe</t>
  </si>
  <si>
    <t>Waarschi870+</t>
  </si>
  <si>
    <t>Haakman  e.a</t>
  </si>
  <si>
    <t>Attila 32</t>
  </si>
  <si>
    <t>Drieblad schroef</t>
  </si>
  <si>
    <t>Beck</t>
  </si>
  <si>
    <t>Spirit36</t>
  </si>
  <si>
    <t>Spirit 36</t>
  </si>
  <si>
    <t>J105</t>
  </si>
  <si>
    <t>Evelene</t>
  </si>
  <si>
    <t>Mulder</t>
  </si>
  <si>
    <t>Westerly 26</t>
  </si>
  <si>
    <t>Banjer</t>
  </si>
  <si>
    <t>j</t>
  </si>
  <si>
    <t>klapschroef, rolgenua, geen genua2, bollejan</t>
  </si>
  <si>
    <t>ja</t>
  </si>
  <si>
    <t>nee</t>
  </si>
  <si>
    <t>Uitslag wedstrijd 29-6-2022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</si>
</sst>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Euro&quot;\ #,##0_-;&quot;Euro&quot;\ #,##0\-"/>
    <numFmt numFmtId="173" formatCode="&quot;Euro&quot;\ #,##0_-;[Red]&quot;Euro&quot;\ #,##0\-"/>
    <numFmt numFmtId="174" formatCode="&quot;Euro&quot;\ #,##0.00_-;&quot;Euro&quot;\ #,##0.00\-"/>
    <numFmt numFmtId="175" formatCode="&quot;Euro&quot;\ #,##0.00_-;[Red]&quot;Euro&quot;\ #,##0.00\-"/>
    <numFmt numFmtId="176" formatCode="_-&quot;Euro&quot;\ * #,##0_-;_-&quot;Euro&quot;\ * #,##0\-;_-&quot;Euro&quot;\ * &quot;-&quot;_-;_-@_-"/>
    <numFmt numFmtId="177" formatCode="_-&quot;Euro&quot;\ * #,##0.00_-;_-&quot;Euro&quot;\ * #,##0.00\-;_-&quot;Euro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#,##0_ ;[Red]\-#,##0\ "/>
    <numFmt numFmtId="191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2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9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NumberForma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91" fontId="7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51"/>
  <sheetViews>
    <sheetView zoomScale="75" zoomScaleNormal="75" zoomScalePageLayoutView="0" workbookViewId="0" topLeftCell="H122">
      <selection activeCell="AD128" sqref="AC128:AD130"/>
    </sheetView>
  </sheetViews>
  <sheetFormatPr defaultColWidth="9.140625" defaultRowHeight="12.75"/>
  <cols>
    <col min="1" max="1" width="2.140625" style="0" customWidth="1"/>
    <col min="2" max="2" width="5.8515625" style="0" customWidth="1"/>
    <col min="3" max="3" width="2.8515625" style="0" hidden="1" customWidth="1"/>
    <col min="4" max="4" width="13.421875" style="0" hidden="1" customWidth="1"/>
    <col min="5" max="5" width="11.28125" style="0" hidden="1" customWidth="1"/>
    <col min="6" max="6" width="9.00390625" style="0" hidden="1" customWidth="1"/>
    <col min="7" max="7" width="11.57421875" style="0" hidden="1" customWidth="1"/>
    <col min="8" max="8" width="12.421875" style="0" customWidth="1"/>
    <col min="9" max="10" width="13.8515625" style="0" customWidth="1"/>
    <col min="11" max="11" width="16.140625" style="0" customWidth="1"/>
    <col min="12" max="12" width="4.00390625" style="0" customWidth="1"/>
    <col min="13" max="13" width="7.140625" style="0" customWidth="1"/>
    <col min="14" max="15" width="7.28125" style="0" customWidth="1"/>
    <col min="16" max="16" width="4.7109375" style="0" customWidth="1"/>
    <col min="17" max="17" width="5.00390625" style="0" customWidth="1"/>
    <col min="18" max="18" width="14.421875" style="0" customWidth="1"/>
    <col min="19" max="19" width="16.8515625" style="0" customWidth="1"/>
    <col min="20" max="20" width="1.28515625" style="0" hidden="1" customWidth="1"/>
    <col min="21" max="21" width="10.8515625" style="0" customWidth="1"/>
    <col min="22" max="23" width="9.28125" style="0" customWidth="1"/>
  </cols>
  <sheetData>
    <row r="1" spans="2:23" ht="15.75">
      <c r="B1" s="3" t="s">
        <v>446</v>
      </c>
      <c r="N1" s="5"/>
      <c r="W1" s="7" t="s">
        <v>0</v>
      </c>
    </row>
    <row r="2" spans="12:23" ht="12.75">
      <c r="L2">
        <f>COUNTA(L6:L99)</f>
        <v>0</v>
      </c>
      <c r="M2" t="s">
        <v>1</v>
      </c>
      <c r="W2">
        <f>COUNTA(B6:B60)</f>
        <v>55</v>
      </c>
    </row>
    <row r="3" spans="8:23" ht="15.75">
      <c r="H3" t="s">
        <v>2</v>
      </c>
      <c r="I3" t="s">
        <v>3</v>
      </c>
      <c r="L3" t="s">
        <v>4</v>
      </c>
      <c r="M3" t="s">
        <v>5</v>
      </c>
      <c r="N3" s="6" t="s">
        <v>5</v>
      </c>
      <c r="O3" t="s">
        <v>6</v>
      </c>
      <c r="R3" t="s">
        <v>603</v>
      </c>
      <c r="S3" t="s">
        <v>7</v>
      </c>
      <c r="U3" t="s">
        <v>8</v>
      </c>
      <c r="V3" t="s">
        <v>9</v>
      </c>
      <c r="W3" s="10" t="s">
        <v>10</v>
      </c>
    </row>
    <row r="4" spans="13:23" ht="15.75">
      <c r="M4" t="s">
        <v>11</v>
      </c>
      <c r="N4" s="6" t="s">
        <v>4</v>
      </c>
      <c r="O4" t="s">
        <v>12</v>
      </c>
      <c r="P4" t="s">
        <v>13</v>
      </c>
      <c r="Q4" t="s">
        <v>14</v>
      </c>
      <c r="R4" t="s">
        <v>15</v>
      </c>
      <c r="S4" s="1" t="s">
        <v>15</v>
      </c>
      <c r="U4" s="4"/>
      <c r="W4" s="10" t="s">
        <v>16</v>
      </c>
    </row>
    <row r="5" ht="12.75">
      <c r="B5" s="14"/>
    </row>
    <row r="6" spans="2:23" ht="15.75">
      <c r="B6">
        <v>1</v>
      </c>
      <c r="C6">
        <v>1</v>
      </c>
      <c r="D6" s="2">
        <f ca="1">NOW()</f>
        <v>44742.543723842595</v>
      </c>
      <c r="E6" s="2">
        <f aca="true" t="shared" si="0" ref="E6:E13">D6-$N$1</f>
        <v>44742.543723842595</v>
      </c>
      <c r="F6">
        <f>C6*E6</f>
        <v>44742.543723842595</v>
      </c>
      <c r="H6" t="s">
        <v>17</v>
      </c>
      <c r="I6" t="s">
        <v>18</v>
      </c>
      <c r="K6" t="s">
        <v>19</v>
      </c>
      <c r="M6" s="13">
        <f>Factor!F7</f>
        <v>0</v>
      </c>
      <c r="N6" s="13">
        <f>Factor!G7</f>
        <v>0</v>
      </c>
      <c r="O6">
        <f>HOUR(G6)</f>
        <v>0</v>
      </c>
      <c r="P6">
        <f aca="true" t="shared" si="1" ref="P6:P37">MINUTE(G6)</f>
        <v>0</v>
      </c>
      <c r="Q6">
        <v>0</v>
      </c>
      <c r="R6">
        <f aca="true" t="shared" si="2" ref="R6:R37">O6*3600+P6*60+Q6</f>
        <v>0</v>
      </c>
      <c r="S6" s="1" t="str">
        <f aca="true" t="shared" si="3" ref="S6:S37">IF(L6="ja",100*(O6*3600+P6*60+Q6)/N6,IF(L6="nee",100*(O6*3600+P6*60+Q6)/M6,"nog niet aanwezig"))</f>
        <v>nog niet aanwezig</v>
      </c>
      <c r="U6" t="e">
        <f>S6/S14</f>
        <v>#VALUE!</v>
      </c>
      <c r="V6" s="1">
        <f>101+1000*LOG10($W$2)-1000*LOG10(1)</f>
        <v>1841.3626894942438</v>
      </c>
      <c r="W6" s="9" t="s">
        <v>20</v>
      </c>
    </row>
    <row r="7" spans="2:23" ht="15.75">
      <c r="B7">
        <v>2</v>
      </c>
      <c r="C7">
        <v>1</v>
      </c>
      <c r="D7" s="2">
        <f ca="1">NOW()</f>
        <v>44742.543723842595</v>
      </c>
      <c r="E7" s="2">
        <f t="shared" si="0"/>
        <v>44742.543723842595</v>
      </c>
      <c r="F7">
        <f>C7*E7</f>
        <v>44742.543723842595</v>
      </c>
      <c r="H7" t="s">
        <v>430</v>
      </c>
      <c r="I7" t="s">
        <v>29</v>
      </c>
      <c r="K7" t="s">
        <v>431</v>
      </c>
      <c r="M7" s="13">
        <f>Factor!F112</f>
        <v>105.6</v>
      </c>
      <c r="N7" s="13">
        <f>Factor!G112</f>
        <v>103.1</v>
      </c>
      <c r="O7">
        <f>HOUR(G7)</f>
        <v>0</v>
      </c>
      <c r="P7">
        <f t="shared" si="1"/>
        <v>0</v>
      </c>
      <c r="Q7">
        <f aca="true" t="shared" si="4" ref="Q7:Q38">SECOND(G7)</f>
        <v>0</v>
      </c>
      <c r="R7">
        <f t="shared" si="2"/>
        <v>0</v>
      </c>
      <c r="S7" s="1" t="str">
        <f t="shared" si="3"/>
        <v>nog niet aanwezig</v>
      </c>
      <c r="U7" t="e">
        <f>S7/S14</f>
        <v>#VALUE!</v>
      </c>
      <c r="V7" s="1">
        <f>101+1000*LOG10($W$2)-1000*LOG10(2)</f>
        <v>1540.3326938302625</v>
      </c>
      <c r="W7" s="7" t="s">
        <v>622</v>
      </c>
    </row>
    <row r="8" spans="2:22" ht="12.75">
      <c r="B8">
        <v>3</v>
      </c>
      <c r="C8">
        <v>1</v>
      </c>
      <c r="D8" s="2">
        <f aca="true" ca="1" t="shared" si="5" ref="D8:D21">NOW()</f>
        <v>44742.543723842595</v>
      </c>
      <c r="E8" s="2">
        <f t="shared" si="0"/>
        <v>44742.543723842595</v>
      </c>
      <c r="F8">
        <f aca="true" t="shared" si="6" ref="F8:F21">C8*E8</f>
        <v>44742.543723842595</v>
      </c>
      <c r="H8" t="s">
        <v>487</v>
      </c>
      <c r="I8" t="s">
        <v>29</v>
      </c>
      <c r="K8" t="s">
        <v>639</v>
      </c>
      <c r="M8" s="13">
        <f>Factor!F132</f>
        <v>110.5</v>
      </c>
      <c r="N8" s="13">
        <f>Factor!G132</f>
        <v>108</v>
      </c>
      <c r="O8">
        <f>HOUR(G8)</f>
        <v>0</v>
      </c>
      <c r="P8">
        <f t="shared" si="1"/>
        <v>0</v>
      </c>
      <c r="Q8">
        <f t="shared" si="4"/>
        <v>0</v>
      </c>
      <c r="R8">
        <f t="shared" si="2"/>
        <v>0</v>
      </c>
      <c r="S8" s="1" t="str">
        <f t="shared" si="3"/>
        <v>nog niet aanwezig</v>
      </c>
      <c r="U8" t="e">
        <f>S8/S15</f>
        <v>#VALUE!</v>
      </c>
      <c r="V8" s="1">
        <f>101+1000*LOG10($W$2)-1000*LOG10(3)</f>
        <v>1364.2414347745814</v>
      </c>
    </row>
    <row r="9" spans="2:23" ht="15.75">
      <c r="B9">
        <v>4</v>
      </c>
      <c r="C9">
        <v>1</v>
      </c>
      <c r="D9" s="2">
        <f ca="1" t="shared" si="5"/>
        <v>44742.543723842595</v>
      </c>
      <c r="E9" s="2">
        <f t="shared" si="0"/>
        <v>44742.543723842595</v>
      </c>
      <c r="F9">
        <f>C9*E9</f>
        <v>44742.543723842595</v>
      </c>
      <c r="H9" t="s">
        <v>356</v>
      </c>
      <c r="I9" t="s">
        <v>357</v>
      </c>
      <c r="K9" t="s">
        <v>358</v>
      </c>
      <c r="M9" s="13">
        <f>Factor!F98</f>
        <v>104.5</v>
      </c>
      <c r="N9" s="13">
        <f>Factor!G98</f>
        <v>102</v>
      </c>
      <c r="O9">
        <v>0</v>
      </c>
      <c r="P9">
        <f t="shared" si="1"/>
        <v>0</v>
      </c>
      <c r="Q9">
        <f t="shared" si="4"/>
        <v>0</v>
      </c>
      <c r="R9">
        <f t="shared" si="2"/>
        <v>0</v>
      </c>
      <c r="S9" s="1" t="str">
        <f t="shared" si="3"/>
        <v>nog niet aanwezig</v>
      </c>
      <c r="U9" t="e">
        <f>S9/S15</f>
        <v>#VALUE!</v>
      </c>
      <c r="V9" s="1">
        <f>101+1000*LOG10($W$2)-1000*LOG10(4)</f>
        <v>1239.3026981662815</v>
      </c>
      <c r="W9" s="8" t="s">
        <v>26</v>
      </c>
    </row>
    <row r="10" spans="2:23" ht="15.75">
      <c r="B10">
        <v>5</v>
      </c>
      <c r="C10">
        <v>1</v>
      </c>
      <c r="D10" s="2">
        <f ca="1" t="shared" si="5"/>
        <v>44742.543723842595</v>
      </c>
      <c r="E10" s="2">
        <f t="shared" si="0"/>
        <v>44742.543723842595</v>
      </c>
      <c r="F10">
        <f t="shared" si="6"/>
        <v>44742.543723842595</v>
      </c>
      <c r="H10" t="s">
        <v>21</v>
      </c>
      <c r="I10" t="s">
        <v>22</v>
      </c>
      <c r="J10" t="s">
        <v>557</v>
      </c>
      <c r="K10" t="s">
        <v>23</v>
      </c>
      <c r="M10" s="13">
        <f>Factor!F8</f>
        <v>109</v>
      </c>
      <c r="N10" s="13">
        <f>Factor!G8</f>
        <v>106.5</v>
      </c>
      <c r="O10">
        <f aca="true" t="shared" si="7" ref="O10:O41">HOUR(G10)</f>
        <v>0</v>
      </c>
      <c r="P10">
        <f t="shared" si="1"/>
        <v>0</v>
      </c>
      <c r="Q10">
        <f t="shared" si="4"/>
        <v>0</v>
      </c>
      <c r="R10">
        <f t="shared" si="2"/>
        <v>0</v>
      </c>
      <c r="S10" s="1" t="str">
        <f t="shared" si="3"/>
        <v>nog niet aanwezig</v>
      </c>
      <c r="U10" t="e">
        <f>S10/S15</f>
        <v>#VALUE!</v>
      </c>
      <c r="V10" s="1">
        <f>101+1000*LOG10($W$2)-1000*LOG10(5)</f>
        <v>1142.392685158225</v>
      </c>
      <c r="W10" s="7" t="s">
        <v>589</v>
      </c>
    </row>
    <row r="11" spans="2:23" ht="15.75">
      <c r="B11">
        <v>6</v>
      </c>
      <c r="C11">
        <v>1</v>
      </c>
      <c r="D11" s="2">
        <f ca="1" t="shared" si="5"/>
        <v>44742.543723842595</v>
      </c>
      <c r="E11" s="2">
        <f t="shared" si="0"/>
        <v>44742.543723842595</v>
      </c>
      <c r="F11">
        <f>C11*E11</f>
        <v>44742.543723842595</v>
      </c>
      <c r="H11" t="s">
        <v>548</v>
      </c>
      <c r="I11" t="s">
        <v>551</v>
      </c>
      <c r="K11" t="s">
        <v>549</v>
      </c>
      <c r="M11" s="13">
        <f>Factor!F150</f>
        <v>94</v>
      </c>
      <c r="N11" s="13">
        <f>Factor!G150</f>
        <v>91.5</v>
      </c>
      <c r="O11">
        <f t="shared" si="7"/>
        <v>0</v>
      </c>
      <c r="P11">
        <f t="shared" si="1"/>
        <v>0</v>
      </c>
      <c r="Q11">
        <f t="shared" si="4"/>
        <v>0</v>
      </c>
      <c r="R11">
        <f t="shared" si="2"/>
        <v>0</v>
      </c>
      <c r="S11" s="1" t="str">
        <f t="shared" si="3"/>
        <v>nog niet aanwezig</v>
      </c>
      <c r="U11" t="e">
        <f>S11/S15</f>
        <v>#VALUE!</v>
      </c>
      <c r="V11" s="1">
        <f>101+1000*LOG10($W$2)-1000*LOG10(6)</f>
        <v>1063.2114391106002</v>
      </c>
      <c r="W11" s="8" t="s">
        <v>30</v>
      </c>
    </row>
    <row r="12" spans="2:23" ht="15.75">
      <c r="B12">
        <v>7</v>
      </c>
      <c r="C12">
        <v>1</v>
      </c>
      <c r="D12" s="2">
        <f ca="1" t="shared" si="5"/>
        <v>44742.543723842595</v>
      </c>
      <c r="E12" s="2">
        <f t="shared" si="0"/>
        <v>44742.543723842595</v>
      </c>
      <c r="F12">
        <f>C12*E12</f>
        <v>44742.543723842595</v>
      </c>
      <c r="H12" t="s">
        <v>24</v>
      </c>
      <c r="I12" t="s">
        <v>25</v>
      </c>
      <c r="M12" s="13">
        <f>Factor!F9</f>
        <v>104</v>
      </c>
      <c r="N12" s="13">
        <f>Factor!G9</f>
        <v>101.5</v>
      </c>
      <c r="O12">
        <f t="shared" si="7"/>
        <v>0</v>
      </c>
      <c r="P12">
        <f t="shared" si="1"/>
        <v>0</v>
      </c>
      <c r="Q12">
        <f t="shared" si="4"/>
        <v>0</v>
      </c>
      <c r="R12">
        <f t="shared" si="2"/>
        <v>0</v>
      </c>
      <c r="S12" s="1" t="str">
        <f t="shared" si="3"/>
        <v>nog niet aanwezig</v>
      </c>
      <c r="U12" t="e">
        <f>S12/S15</f>
        <v>#VALUE!</v>
      </c>
      <c r="V12" s="1">
        <f>101+1000*LOG10($W$2)-1000*LOG10(7)</f>
        <v>996.2646494799869</v>
      </c>
      <c r="W12" s="7" t="s">
        <v>616</v>
      </c>
    </row>
    <row r="13" spans="2:22" ht="12.75">
      <c r="B13">
        <v>8</v>
      </c>
      <c r="C13">
        <v>1</v>
      </c>
      <c r="D13" s="2">
        <f ca="1" t="shared" si="5"/>
        <v>44742.543723842595</v>
      </c>
      <c r="E13" s="2">
        <f t="shared" si="0"/>
        <v>44742.543723842595</v>
      </c>
      <c r="F13">
        <f t="shared" si="6"/>
        <v>44742.543723842595</v>
      </c>
      <c r="H13" t="s">
        <v>27</v>
      </c>
      <c r="I13" t="s">
        <v>399</v>
      </c>
      <c r="K13" t="s">
        <v>28</v>
      </c>
      <c r="M13" s="13">
        <f>Factor!F10</f>
        <v>96</v>
      </c>
      <c r="N13" s="13">
        <f>Factor!G10</f>
        <v>93.5</v>
      </c>
      <c r="O13">
        <f t="shared" si="7"/>
        <v>0</v>
      </c>
      <c r="P13">
        <f t="shared" si="1"/>
        <v>0</v>
      </c>
      <c r="Q13">
        <f t="shared" si="4"/>
        <v>0</v>
      </c>
      <c r="R13">
        <f t="shared" si="2"/>
        <v>0</v>
      </c>
      <c r="S13" s="1" t="str">
        <f t="shared" si="3"/>
        <v>nog niet aanwezig</v>
      </c>
      <c r="U13" t="e">
        <f>S13/S15</f>
        <v>#VALUE!</v>
      </c>
      <c r="V13" s="1">
        <f>101+1000*LOG10($W$2)-1000*LOG10(8)</f>
        <v>938.2727025023003</v>
      </c>
    </row>
    <row r="14" spans="2:23" ht="15.75">
      <c r="B14">
        <v>9</v>
      </c>
      <c r="D14" s="2"/>
      <c r="E14" s="2"/>
      <c r="H14" t="s">
        <v>406</v>
      </c>
      <c r="I14" t="s">
        <v>407</v>
      </c>
      <c r="K14" t="s">
        <v>75</v>
      </c>
      <c r="M14" s="13">
        <f>Factor!F103</f>
        <v>91.5</v>
      </c>
      <c r="N14" s="13">
        <f>Factor!G103</f>
        <v>89</v>
      </c>
      <c r="O14">
        <f t="shared" si="7"/>
        <v>0</v>
      </c>
      <c r="P14">
        <f t="shared" si="1"/>
        <v>0</v>
      </c>
      <c r="Q14">
        <f t="shared" si="4"/>
        <v>0</v>
      </c>
      <c r="R14">
        <f t="shared" si="2"/>
        <v>0</v>
      </c>
      <c r="S14" s="1" t="str">
        <f t="shared" si="3"/>
        <v>nog niet aanwezig</v>
      </c>
      <c r="U14" t="e">
        <f>S14/S16</f>
        <v>#VALUE!</v>
      </c>
      <c r="V14" s="1">
        <f>101+1000*LOG10($W$2)-1000*LOG10(9)</f>
        <v>887.1201800549189</v>
      </c>
      <c r="W14" s="8"/>
    </row>
    <row r="15" spans="2:23" ht="15.75">
      <c r="B15">
        <v>10</v>
      </c>
      <c r="C15">
        <v>1</v>
      </c>
      <c r="D15" s="2">
        <f ca="1" t="shared" si="5"/>
        <v>44742.543723842595</v>
      </c>
      <c r="E15" s="2">
        <f>D15-$N$1</f>
        <v>44742.543723842595</v>
      </c>
      <c r="F15">
        <f t="shared" si="6"/>
        <v>44742.543723842595</v>
      </c>
      <c r="H15" t="s">
        <v>3</v>
      </c>
      <c r="I15" t="s">
        <v>648</v>
      </c>
      <c r="K15" t="s">
        <v>649</v>
      </c>
      <c r="M15" s="13">
        <f>Factor!F175</f>
        <v>101</v>
      </c>
      <c r="N15" s="13">
        <f>Factor!G175</f>
        <v>98.5</v>
      </c>
      <c r="O15">
        <f t="shared" si="7"/>
        <v>0</v>
      </c>
      <c r="P15">
        <f t="shared" si="1"/>
        <v>0</v>
      </c>
      <c r="Q15">
        <f t="shared" si="4"/>
        <v>0</v>
      </c>
      <c r="R15">
        <f t="shared" si="2"/>
        <v>0</v>
      </c>
      <c r="S15" s="1" t="str">
        <f t="shared" si="3"/>
        <v>nog niet aanwezig</v>
      </c>
      <c r="U15" t="e">
        <f>S15/S15</f>
        <v>#VALUE!</v>
      </c>
      <c r="V15" s="1">
        <f>101+1000*LOG10($W$2)-1000*LOG10(10)</f>
        <v>841.3626894942438</v>
      </c>
      <c r="W15" s="7" t="s">
        <v>617</v>
      </c>
    </row>
    <row r="16" spans="2:22" ht="12.75">
      <c r="B16">
        <v>11</v>
      </c>
      <c r="C16">
        <v>1</v>
      </c>
      <c r="D16" s="2">
        <f ca="1" t="shared" si="5"/>
        <v>44742.543723842595</v>
      </c>
      <c r="E16" s="2">
        <f>D16-$N$1</f>
        <v>44742.543723842595</v>
      </c>
      <c r="F16">
        <f t="shared" si="6"/>
        <v>44742.543723842595</v>
      </c>
      <c r="H16" t="s">
        <v>31</v>
      </c>
      <c r="I16" t="s">
        <v>32</v>
      </c>
      <c r="K16" t="s">
        <v>33</v>
      </c>
      <c r="M16" s="13">
        <f>Factor!F11</f>
        <v>108.6</v>
      </c>
      <c r="N16" s="13">
        <f>Factor!G11</f>
        <v>106.1</v>
      </c>
      <c r="O16">
        <f t="shared" si="7"/>
        <v>0</v>
      </c>
      <c r="P16">
        <f t="shared" si="1"/>
        <v>0</v>
      </c>
      <c r="Q16">
        <f t="shared" si="4"/>
        <v>0</v>
      </c>
      <c r="R16">
        <f t="shared" si="2"/>
        <v>0</v>
      </c>
      <c r="S16" s="1" t="str">
        <f t="shared" si="3"/>
        <v>nog niet aanwezig</v>
      </c>
      <c r="V16" s="1">
        <f>101+1000*LOG10($W$2)-1000*LOG10(11)</f>
        <v>799.9700043360187</v>
      </c>
    </row>
    <row r="17" spans="2:23" ht="15.75">
      <c r="B17">
        <v>12</v>
      </c>
      <c r="D17" s="2"/>
      <c r="E17" s="2"/>
      <c r="H17" t="s">
        <v>34</v>
      </c>
      <c r="I17" t="s">
        <v>35</v>
      </c>
      <c r="K17" t="s">
        <v>36</v>
      </c>
      <c r="M17" s="13">
        <f>Factor!F12</f>
        <v>89</v>
      </c>
      <c r="N17" s="13">
        <f>Factor!G12</f>
        <v>86.5</v>
      </c>
      <c r="O17">
        <f t="shared" si="7"/>
        <v>0</v>
      </c>
      <c r="P17">
        <f t="shared" si="1"/>
        <v>0</v>
      </c>
      <c r="Q17">
        <f t="shared" si="4"/>
        <v>0</v>
      </c>
      <c r="R17">
        <f t="shared" si="2"/>
        <v>0</v>
      </c>
      <c r="S17" s="1" t="str">
        <f t="shared" si="3"/>
        <v>nog niet aanwezig</v>
      </c>
      <c r="V17" s="1">
        <f>101+1000*LOG10($W$2)-1000*LOG10(12)</f>
        <v>762.1814434466189</v>
      </c>
      <c r="W17" s="8"/>
    </row>
    <row r="18" spans="2:23" ht="15.75">
      <c r="B18">
        <v>13</v>
      </c>
      <c r="C18">
        <v>1</v>
      </c>
      <c r="D18" s="2">
        <f ca="1" t="shared" si="5"/>
        <v>44742.543723842595</v>
      </c>
      <c r="E18" s="2">
        <f>D18-$N$1</f>
        <v>44742.543723842595</v>
      </c>
      <c r="F18">
        <f t="shared" si="6"/>
        <v>44742.543723842595</v>
      </c>
      <c r="H18" t="s">
        <v>620</v>
      </c>
      <c r="I18" t="s">
        <v>434</v>
      </c>
      <c r="K18" t="s">
        <v>435</v>
      </c>
      <c r="M18" s="13">
        <f>Factor!F114</f>
        <v>84</v>
      </c>
      <c r="N18" s="13">
        <f>Factor!G114</f>
        <v>81.5</v>
      </c>
      <c r="O18">
        <f t="shared" si="7"/>
        <v>0</v>
      </c>
      <c r="P18">
        <f t="shared" si="1"/>
        <v>0</v>
      </c>
      <c r="Q18">
        <f t="shared" si="4"/>
        <v>0</v>
      </c>
      <c r="R18">
        <f t="shared" si="2"/>
        <v>0</v>
      </c>
      <c r="S18" s="1" t="str">
        <f t="shared" si="3"/>
        <v>nog niet aanwezig</v>
      </c>
      <c r="V18" s="1">
        <f>101+1000*LOG10($W$2)-1000*LOG10(13)</f>
        <v>727.4193371874071</v>
      </c>
      <c r="W18" s="26"/>
    </row>
    <row r="19" spans="2:22" ht="12.75">
      <c r="B19">
        <v>14</v>
      </c>
      <c r="C19">
        <v>1</v>
      </c>
      <c r="D19" s="2">
        <f ca="1" t="shared" si="5"/>
        <v>44742.543723842595</v>
      </c>
      <c r="E19" s="2">
        <f>D19-$N$1</f>
        <v>44742.543723842595</v>
      </c>
      <c r="F19">
        <f t="shared" si="6"/>
        <v>44742.543723842595</v>
      </c>
      <c r="H19" t="s">
        <v>37</v>
      </c>
      <c r="I19" t="s">
        <v>38</v>
      </c>
      <c r="M19" s="13">
        <f>Factor!F59</f>
        <v>107</v>
      </c>
      <c r="N19" s="13">
        <f>Factor!G59</f>
        <v>104.5</v>
      </c>
      <c r="O19">
        <f t="shared" si="7"/>
        <v>0</v>
      </c>
      <c r="P19">
        <f t="shared" si="1"/>
        <v>0</v>
      </c>
      <c r="Q19">
        <f t="shared" si="4"/>
        <v>0</v>
      </c>
      <c r="R19">
        <f t="shared" si="2"/>
        <v>0</v>
      </c>
      <c r="S19" s="1" t="str">
        <f t="shared" si="3"/>
        <v>nog niet aanwezig</v>
      </c>
      <c r="V19" s="1">
        <f>101+1000*LOG10($W$2)-1000*LOG10(14)</f>
        <v>695.2346538160059</v>
      </c>
    </row>
    <row r="20" spans="2:23" ht="15.75">
      <c r="B20">
        <v>15</v>
      </c>
      <c r="C20">
        <v>1</v>
      </c>
      <c r="D20" s="2">
        <f ca="1" t="shared" si="5"/>
        <v>44742.543723842595</v>
      </c>
      <c r="E20" s="2">
        <f>D20-$N$1</f>
        <v>44742.543723842595</v>
      </c>
      <c r="F20">
        <f t="shared" si="6"/>
        <v>44742.543723842595</v>
      </c>
      <c r="H20" t="s">
        <v>541</v>
      </c>
      <c r="I20" t="s">
        <v>550</v>
      </c>
      <c r="K20" t="s">
        <v>546</v>
      </c>
      <c r="M20" s="13">
        <f>Factor!F148</f>
        <v>90</v>
      </c>
      <c r="N20" s="13">
        <f>Factor!G148</f>
        <v>87.5</v>
      </c>
      <c r="O20">
        <f t="shared" si="7"/>
        <v>0</v>
      </c>
      <c r="P20">
        <f t="shared" si="1"/>
        <v>0</v>
      </c>
      <c r="Q20">
        <f t="shared" si="4"/>
        <v>0</v>
      </c>
      <c r="R20">
        <f t="shared" si="2"/>
        <v>0</v>
      </c>
      <c r="S20" s="1" t="str">
        <f t="shared" si="3"/>
        <v>nog niet aanwezig</v>
      </c>
      <c r="V20" s="1">
        <f>101+1000*LOG10($W$2)-1000*LOG10(15)</f>
        <v>665.2714304385624</v>
      </c>
      <c r="W20" s="8"/>
    </row>
    <row r="21" spans="2:23" ht="15.75">
      <c r="B21">
        <v>16</v>
      </c>
      <c r="C21">
        <v>1</v>
      </c>
      <c r="D21" s="2">
        <f ca="1" t="shared" si="5"/>
        <v>44742.543723842595</v>
      </c>
      <c r="E21" s="2">
        <f>D21-$N$1</f>
        <v>44742.543723842595</v>
      </c>
      <c r="F21">
        <f t="shared" si="6"/>
        <v>44742.543723842595</v>
      </c>
      <c r="H21" t="s">
        <v>39</v>
      </c>
      <c r="I21" t="s">
        <v>40</v>
      </c>
      <c r="M21" s="13">
        <f>Factor!F13</f>
        <v>111</v>
      </c>
      <c r="N21" s="13">
        <f>Factor!G13</f>
        <v>108.5</v>
      </c>
      <c r="O21">
        <f t="shared" si="7"/>
        <v>0</v>
      </c>
      <c r="P21">
        <f t="shared" si="1"/>
        <v>0</v>
      </c>
      <c r="Q21">
        <f t="shared" si="4"/>
        <v>0</v>
      </c>
      <c r="R21">
        <f t="shared" si="2"/>
        <v>0</v>
      </c>
      <c r="S21" s="1" t="str">
        <f t="shared" si="3"/>
        <v>nog niet aanwezig</v>
      </c>
      <c r="V21" s="1">
        <f>101+1000*LOG10($W$2)-1000*LOG10(16)</f>
        <v>637.242706838319</v>
      </c>
      <c r="W21" s="9"/>
    </row>
    <row r="22" spans="2:22" ht="12.75">
      <c r="B22">
        <v>17</v>
      </c>
      <c r="D22" s="2"/>
      <c r="E22" s="2"/>
      <c r="H22" t="s">
        <v>43</v>
      </c>
      <c r="I22" t="s">
        <v>44</v>
      </c>
      <c r="M22" s="13">
        <f>Factor!F15</f>
        <v>97</v>
      </c>
      <c r="N22" s="13">
        <f>Factor!G15</f>
        <v>94.5</v>
      </c>
      <c r="O22">
        <f t="shared" si="7"/>
        <v>0</v>
      </c>
      <c r="P22">
        <f t="shared" si="1"/>
        <v>0</v>
      </c>
      <c r="Q22">
        <f t="shared" si="4"/>
        <v>0</v>
      </c>
      <c r="R22">
        <f t="shared" si="2"/>
        <v>0</v>
      </c>
      <c r="S22" s="1" t="str">
        <f t="shared" si="3"/>
        <v>nog niet aanwezig</v>
      </c>
      <c r="V22" s="1">
        <f>101+1000*LOG10($W$2)-1000*LOG10(17)</f>
        <v>610.91376811597</v>
      </c>
    </row>
    <row r="23" spans="2:23" ht="15.75">
      <c r="B23">
        <v>18</v>
      </c>
      <c r="D23" s="2"/>
      <c r="E23" s="2"/>
      <c r="H23" t="s">
        <v>46</v>
      </c>
      <c r="I23" t="s">
        <v>357</v>
      </c>
      <c r="K23" t="s">
        <v>635</v>
      </c>
      <c r="M23" s="13">
        <f>Factor!F169</f>
        <v>98</v>
      </c>
      <c r="N23" s="13">
        <f>Factor!G169</f>
        <v>95.5</v>
      </c>
      <c r="O23">
        <f t="shared" si="7"/>
        <v>0</v>
      </c>
      <c r="P23">
        <f t="shared" si="1"/>
        <v>0</v>
      </c>
      <c r="Q23">
        <f t="shared" si="4"/>
        <v>0</v>
      </c>
      <c r="R23">
        <f t="shared" si="2"/>
        <v>0</v>
      </c>
      <c r="S23" s="1" t="str">
        <f t="shared" si="3"/>
        <v>nog niet aanwezig</v>
      </c>
      <c r="V23" s="1">
        <f>101+1000*LOG10($W$2)-1000*LOG10(18)</f>
        <v>586.0901843909378</v>
      </c>
      <c r="W23" s="7"/>
    </row>
    <row r="24" spans="2:23" ht="15.75">
      <c r="B24">
        <v>19</v>
      </c>
      <c r="C24">
        <v>1</v>
      </c>
      <c r="D24" s="2">
        <f aca="true" ca="1" t="shared" si="8" ref="D24:D37">NOW()</f>
        <v>44742.543723842595</v>
      </c>
      <c r="E24" s="2">
        <f>D24-$N$1</f>
        <v>44742.543723842595</v>
      </c>
      <c r="F24">
        <f aca="true" t="shared" si="9" ref="F24:F39">C24*E24</f>
        <v>44742.543723842595</v>
      </c>
      <c r="H24" t="s">
        <v>623</v>
      </c>
      <c r="I24" t="s">
        <v>624</v>
      </c>
      <c r="K24" t="s">
        <v>628</v>
      </c>
      <c r="M24" s="13">
        <f>Factor!F166</f>
        <v>95.5</v>
      </c>
      <c r="N24" s="13">
        <f>Factor!G166</f>
        <v>93</v>
      </c>
      <c r="O24">
        <f t="shared" si="7"/>
        <v>0</v>
      </c>
      <c r="P24">
        <f t="shared" si="1"/>
        <v>0</v>
      </c>
      <c r="Q24">
        <f t="shared" si="4"/>
        <v>0</v>
      </c>
      <c r="R24">
        <f t="shared" si="2"/>
        <v>0</v>
      </c>
      <c r="S24" s="1" t="str">
        <f t="shared" si="3"/>
        <v>nog niet aanwezig</v>
      </c>
      <c r="V24" s="1">
        <f>101+1000*LOG10($W$2)-1000*LOG10(19)</f>
        <v>562.6090885414148</v>
      </c>
      <c r="W24" s="7"/>
    </row>
    <row r="25" spans="2:22" ht="12.75">
      <c r="B25">
        <v>20</v>
      </c>
      <c r="D25" s="2"/>
      <c r="E25" s="2"/>
      <c r="H25" t="s">
        <v>338</v>
      </c>
      <c r="I25" t="s">
        <v>349</v>
      </c>
      <c r="K25" t="s">
        <v>339</v>
      </c>
      <c r="M25" s="13">
        <f>Factor!F94</f>
        <v>91</v>
      </c>
      <c r="N25" s="13">
        <f>Factor!G94</f>
        <v>88.5</v>
      </c>
      <c r="O25">
        <f t="shared" si="7"/>
        <v>0</v>
      </c>
      <c r="P25">
        <f t="shared" si="1"/>
        <v>0</v>
      </c>
      <c r="Q25">
        <f t="shared" si="4"/>
        <v>0</v>
      </c>
      <c r="R25">
        <f t="shared" si="2"/>
        <v>0</v>
      </c>
      <c r="S25" s="1" t="str">
        <f t="shared" si="3"/>
        <v>nog niet aanwezig</v>
      </c>
      <c r="V25" s="1">
        <f>101+1000*LOG10($W$2)-1000*LOG10(20)</f>
        <v>540.3326938302625</v>
      </c>
    </row>
    <row r="26" spans="2:23" ht="15.75">
      <c r="B26">
        <v>21</v>
      </c>
      <c r="D26" s="2"/>
      <c r="E26" s="2"/>
      <c r="H26" t="s">
        <v>321</v>
      </c>
      <c r="I26" t="s">
        <v>322</v>
      </c>
      <c r="K26" t="s">
        <v>325</v>
      </c>
      <c r="M26" s="13">
        <f>Factor!F88</f>
        <v>132</v>
      </c>
      <c r="N26" s="13">
        <f>Factor!G88</f>
        <v>129.5</v>
      </c>
      <c r="O26">
        <f t="shared" si="7"/>
        <v>0</v>
      </c>
      <c r="P26">
        <f t="shared" si="1"/>
        <v>0</v>
      </c>
      <c r="Q26">
        <f t="shared" si="4"/>
        <v>0</v>
      </c>
      <c r="R26">
        <f t="shared" si="2"/>
        <v>0</v>
      </c>
      <c r="S26" s="1" t="str">
        <f t="shared" si="3"/>
        <v>nog niet aanwezig</v>
      </c>
      <c r="V26" s="1">
        <f>101+1000*LOG10($W$2)-1000*LOG10(21)</f>
        <v>519.1433947603246</v>
      </c>
      <c r="W26" s="8"/>
    </row>
    <row r="27" spans="2:23" ht="15.75">
      <c r="B27">
        <v>22</v>
      </c>
      <c r="C27">
        <v>1</v>
      </c>
      <c r="D27" s="2">
        <f ca="1" t="shared" si="8"/>
        <v>44742.543723842595</v>
      </c>
      <c r="E27" s="2">
        <f>D27-$N$1</f>
        <v>44742.543723842595</v>
      </c>
      <c r="F27">
        <f t="shared" si="9"/>
        <v>44742.543723842595</v>
      </c>
      <c r="H27" t="s">
        <v>436</v>
      </c>
      <c r="I27" t="s">
        <v>437</v>
      </c>
      <c r="K27" t="s">
        <v>438</v>
      </c>
      <c r="M27" s="13">
        <f>Factor!F115</f>
        <v>112</v>
      </c>
      <c r="N27" s="13">
        <f>Factor!G115</f>
        <v>109.5</v>
      </c>
      <c r="O27">
        <f t="shared" si="7"/>
        <v>0</v>
      </c>
      <c r="P27">
        <f t="shared" si="1"/>
        <v>0</v>
      </c>
      <c r="Q27">
        <f t="shared" si="4"/>
        <v>0</v>
      </c>
      <c r="R27">
        <f t="shared" si="2"/>
        <v>0</v>
      </c>
      <c r="S27" s="1" t="str">
        <f t="shared" si="3"/>
        <v>nog niet aanwezig</v>
      </c>
      <c r="V27" s="1">
        <f>101+1000*LOG10($W$2)-1000*LOG10(22)</f>
        <v>498.9400086720377</v>
      </c>
      <c r="W27" s="9"/>
    </row>
    <row r="28" spans="2:22" ht="12.75">
      <c r="B28">
        <v>23</v>
      </c>
      <c r="C28">
        <v>1</v>
      </c>
      <c r="D28" s="2">
        <f ca="1" t="shared" si="8"/>
        <v>44742.543723842595</v>
      </c>
      <c r="E28" s="2">
        <f>D28-$N$1</f>
        <v>44742.543723842595</v>
      </c>
      <c r="F28">
        <f t="shared" si="9"/>
        <v>44742.543723842595</v>
      </c>
      <c r="H28" t="s">
        <v>484</v>
      </c>
      <c r="I28" t="s">
        <v>485</v>
      </c>
      <c r="K28" t="s">
        <v>471</v>
      </c>
      <c r="M28">
        <f>Factor!F128</f>
        <v>100.7</v>
      </c>
      <c r="N28">
        <f>Factor!G128</f>
        <v>98.2</v>
      </c>
      <c r="O28">
        <f t="shared" si="7"/>
        <v>0</v>
      </c>
      <c r="P28">
        <f t="shared" si="1"/>
        <v>0</v>
      </c>
      <c r="Q28">
        <f t="shared" si="4"/>
        <v>0</v>
      </c>
      <c r="R28">
        <f t="shared" si="2"/>
        <v>0</v>
      </c>
      <c r="S28" s="1" t="str">
        <f t="shared" si="3"/>
        <v>nog niet aanwezig</v>
      </c>
      <c r="V28" s="1">
        <f>101+1000*LOG10($W$2)-1000*LOG10(23)</f>
        <v>479.63485347665096</v>
      </c>
    </row>
    <row r="29" spans="2:22" ht="12.75">
      <c r="B29">
        <v>24</v>
      </c>
      <c r="C29">
        <v>1</v>
      </c>
      <c r="D29" s="2">
        <f ca="1" t="shared" si="8"/>
        <v>44742.543723842595</v>
      </c>
      <c r="E29" s="2">
        <f>D29-$N$1</f>
        <v>44742.543723842595</v>
      </c>
      <c r="F29">
        <f t="shared" si="9"/>
        <v>44742.543723842595</v>
      </c>
      <c r="H29" t="s">
        <v>47</v>
      </c>
      <c r="I29" t="s">
        <v>328</v>
      </c>
      <c r="K29" t="s">
        <v>329</v>
      </c>
      <c r="M29" s="13">
        <f>Factor!F65</f>
        <v>87</v>
      </c>
      <c r="N29" s="13">
        <f>Factor!G65</f>
        <v>84.5</v>
      </c>
      <c r="O29">
        <f t="shared" si="7"/>
        <v>0</v>
      </c>
      <c r="P29">
        <f t="shared" si="1"/>
        <v>0</v>
      </c>
      <c r="Q29">
        <f t="shared" si="4"/>
        <v>0</v>
      </c>
      <c r="R29">
        <f t="shared" si="2"/>
        <v>0</v>
      </c>
      <c r="S29" s="1" t="str">
        <f t="shared" si="3"/>
        <v>nog niet aanwezig</v>
      </c>
      <c r="V29" s="1">
        <f>101+1000*LOG10($W$2)-1000*LOG10(24)</f>
        <v>461.1514477826379</v>
      </c>
    </row>
    <row r="30" spans="2:22" ht="12.75">
      <c r="B30">
        <v>25</v>
      </c>
      <c r="D30" s="2"/>
      <c r="E30" s="2"/>
      <c r="H30" t="s">
        <v>49</v>
      </c>
      <c r="I30" t="s">
        <v>50</v>
      </c>
      <c r="K30" t="s">
        <v>51</v>
      </c>
      <c r="M30" s="13">
        <f>Factor!F74</f>
        <v>107</v>
      </c>
      <c r="N30" s="13">
        <f>Factor!G74</f>
        <v>104.5</v>
      </c>
      <c r="O30">
        <f t="shared" si="7"/>
        <v>0</v>
      </c>
      <c r="P30">
        <f t="shared" si="1"/>
        <v>0</v>
      </c>
      <c r="Q30">
        <f t="shared" si="4"/>
        <v>0</v>
      </c>
      <c r="R30">
        <f t="shared" si="2"/>
        <v>0</v>
      </c>
      <c r="S30" s="1" t="str">
        <f t="shared" si="3"/>
        <v>nog niet aanwezig</v>
      </c>
      <c r="V30" s="1">
        <f>101+1000*LOG10($W$2)-1000*LOG10(25)</f>
        <v>443.4226808222061</v>
      </c>
    </row>
    <row r="31" spans="2:22" ht="12.75">
      <c r="B31">
        <v>26</v>
      </c>
      <c r="C31">
        <v>1</v>
      </c>
      <c r="D31" s="2">
        <f ca="1" t="shared" si="8"/>
        <v>44742.543723842595</v>
      </c>
      <c r="E31" s="2">
        <f>D31-$N$1</f>
        <v>44742.543723842595</v>
      </c>
      <c r="F31">
        <f t="shared" si="9"/>
        <v>44742.543723842595</v>
      </c>
      <c r="H31" t="s">
        <v>52</v>
      </c>
      <c r="I31" t="s">
        <v>53</v>
      </c>
      <c r="K31" t="s">
        <v>54</v>
      </c>
      <c r="M31" s="13">
        <f>Factor!F77</f>
        <v>87</v>
      </c>
      <c r="N31" s="13">
        <f>Factor!G77</f>
        <v>84.5</v>
      </c>
      <c r="O31">
        <f t="shared" si="7"/>
        <v>0</v>
      </c>
      <c r="P31">
        <f t="shared" si="1"/>
        <v>0</v>
      </c>
      <c r="Q31">
        <f t="shared" si="4"/>
        <v>0</v>
      </c>
      <c r="R31">
        <f t="shared" si="2"/>
        <v>0</v>
      </c>
      <c r="S31" s="1" t="str">
        <f t="shared" si="3"/>
        <v>nog niet aanwezig</v>
      </c>
      <c r="V31" s="1">
        <f>101+1000*LOG10($W$2)-1000*LOG10(26)</f>
        <v>426.38934152342586</v>
      </c>
    </row>
    <row r="32" spans="2:22" ht="12.75">
      <c r="B32">
        <v>27</v>
      </c>
      <c r="C32">
        <v>1</v>
      </c>
      <c r="D32" s="2">
        <f ca="1" t="shared" si="8"/>
        <v>44742.543723842595</v>
      </c>
      <c r="E32" s="2">
        <f>D32-$N$1</f>
        <v>44742.543723842595</v>
      </c>
      <c r="F32">
        <f t="shared" si="9"/>
        <v>44742.543723842595</v>
      </c>
      <c r="H32" t="s">
        <v>636</v>
      </c>
      <c r="I32" t="s">
        <v>632</v>
      </c>
      <c r="K32" t="s">
        <v>637</v>
      </c>
      <c r="M32" s="13">
        <f>Factor!F170</f>
        <v>110</v>
      </c>
      <c r="N32" s="13">
        <f>Factor!G170</f>
        <v>107.5</v>
      </c>
      <c r="O32">
        <f t="shared" si="7"/>
        <v>0</v>
      </c>
      <c r="P32">
        <f t="shared" si="1"/>
        <v>0</v>
      </c>
      <c r="Q32">
        <f t="shared" si="4"/>
        <v>0</v>
      </c>
      <c r="R32">
        <f t="shared" si="2"/>
        <v>0</v>
      </c>
      <c r="S32" s="1" t="str">
        <f t="shared" si="3"/>
        <v>nog niet aanwezig</v>
      </c>
      <c r="V32" s="1">
        <f>101+1000*LOG10($W$2)-1000*LOG10(27)</f>
        <v>409.99892533525644</v>
      </c>
    </row>
    <row r="33" spans="2:22" ht="12.75">
      <c r="B33">
        <v>28</v>
      </c>
      <c r="C33">
        <v>1</v>
      </c>
      <c r="D33" s="2">
        <f ca="1" t="shared" si="8"/>
        <v>44742.543723842595</v>
      </c>
      <c r="E33" s="2">
        <f>D33-$N$1</f>
        <v>44742.543723842595</v>
      </c>
      <c r="F33">
        <f t="shared" si="9"/>
        <v>44742.543723842595</v>
      </c>
      <c r="H33" t="s">
        <v>578</v>
      </c>
      <c r="I33" t="s">
        <v>571</v>
      </c>
      <c r="K33" t="s">
        <v>577</v>
      </c>
      <c r="M33" s="13">
        <f>Factor!F154</f>
        <v>109.6</v>
      </c>
      <c r="N33" s="13">
        <f>Factor!G154</f>
        <v>107.1</v>
      </c>
      <c r="O33">
        <f t="shared" si="7"/>
        <v>0</v>
      </c>
      <c r="P33">
        <f t="shared" si="1"/>
        <v>0</v>
      </c>
      <c r="Q33">
        <f t="shared" si="4"/>
        <v>0</v>
      </c>
      <c r="R33">
        <f t="shared" si="2"/>
        <v>0</v>
      </c>
      <c r="S33" s="1" t="str">
        <f t="shared" si="3"/>
        <v>nog niet aanwezig</v>
      </c>
      <c r="V33" s="1">
        <f>101+1000*LOG10($W$2)-1000*LOG10(28)</f>
        <v>394.20465815202465</v>
      </c>
    </row>
    <row r="34" spans="2:22" ht="12.75">
      <c r="B34">
        <v>29</v>
      </c>
      <c r="C34">
        <v>1</v>
      </c>
      <c r="D34" s="2">
        <f ca="1" t="shared" si="8"/>
        <v>44742.543723842595</v>
      </c>
      <c r="E34" s="2">
        <f>D34-$N$1</f>
        <v>44742.543723842595</v>
      </c>
      <c r="F34">
        <f t="shared" si="9"/>
        <v>44742.543723842595</v>
      </c>
      <c r="H34" s="25" t="s">
        <v>260</v>
      </c>
      <c r="I34" s="25" t="s">
        <v>588</v>
      </c>
      <c r="J34" s="25" t="s">
        <v>561</v>
      </c>
      <c r="K34" s="25" t="s">
        <v>640</v>
      </c>
      <c r="M34" s="13">
        <f>Factor!F146</f>
        <v>87.4</v>
      </c>
      <c r="N34" s="13">
        <f>Factor!G146</f>
        <v>84.9</v>
      </c>
      <c r="O34">
        <f t="shared" si="7"/>
        <v>0</v>
      </c>
      <c r="P34">
        <f t="shared" si="1"/>
        <v>0</v>
      </c>
      <c r="Q34">
        <f t="shared" si="4"/>
        <v>0</v>
      </c>
      <c r="R34">
        <f t="shared" si="2"/>
        <v>0</v>
      </c>
      <c r="S34" s="1" t="str">
        <f t="shared" si="3"/>
        <v>nog niet aanwezig</v>
      </c>
      <c r="V34" s="1">
        <f>101+1000*LOG10($W$2)-1000*LOG10(29)</f>
        <v>378.9646915952876</v>
      </c>
    </row>
    <row r="35" spans="2:22" ht="12.75">
      <c r="B35">
        <v>30</v>
      </c>
      <c r="D35" s="2"/>
      <c r="E35" s="2"/>
      <c r="H35" t="s">
        <v>56</v>
      </c>
      <c r="I35">
        <v>470</v>
      </c>
      <c r="M35" s="13">
        <f>Factor!F62</f>
        <v>102</v>
      </c>
      <c r="N35" s="13">
        <f>Factor!G62</f>
        <v>99.5</v>
      </c>
      <c r="O35">
        <f t="shared" si="7"/>
        <v>0</v>
      </c>
      <c r="P35">
        <f t="shared" si="1"/>
        <v>0</v>
      </c>
      <c r="Q35">
        <f t="shared" si="4"/>
        <v>0</v>
      </c>
      <c r="R35">
        <f t="shared" si="2"/>
        <v>0</v>
      </c>
      <c r="S35" s="1" t="str">
        <f t="shared" si="3"/>
        <v>nog niet aanwezig</v>
      </c>
      <c r="V35" s="1">
        <f>101+1000*LOG10($W$2)-1000*LOG10(30)</f>
        <v>364.2414347745814</v>
      </c>
    </row>
    <row r="36" spans="2:22" ht="12.75">
      <c r="B36">
        <v>31</v>
      </c>
      <c r="C36">
        <v>1</v>
      </c>
      <c r="D36" s="2">
        <f ca="1" t="shared" si="8"/>
        <v>44742.543723842595</v>
      </c>
      <c r="E36" s="2">
        <f>D36-$N$1</f>
        <v>44742.543723842595</v>
      </c>
      <c r="F36">
        <f t="shared" si="9"/>
        <v>44742.543723842595</v>
      </c>
      <c r="H36" t="s">
        <v>652</v>
      </c>
      <c r="I36" t="s">
        <v>653</v>
      </c>
      <c r="K36" t="s">
        <v>111</v>
      </c>
      <c r="M36" s="13">
        <f>Factor!F176</f>
        <v>113</v>
      </c>
      <c r="N36" s="13">
        <f>Factor!G176</f>
        <v>110.5</v>
      </c>
      <c r="O36">
        <f t="shared" si="7"/>
        <v>0</v>
      </c>
      <c r="P36">
        <f t="shared" si="1"/>
        <v>0</v>
      </c>
      <c r="Q36">
        <f t="shared" si="4"/>
        <v>0</v>
      </c>
      <c r="R36">
        <f t="shared" si="2"/>
        <v>0</v>
      </c>
      <c r="S36" s="1" t="str">
        <f t="shared" si="3"/>
        <v>nog niet aanwezig</v>
      </c>
      <c r="V36" s="1">
        <f>101+1000*LOG10($W$2)-1000*LOG10(31)</f>
        <v>350.00099565997107</v>
      </c>
    </row>
    <row r="37" spans="2:22" ht="12.75">
      <c r="B37">
        <v>32</v>
      </c>
      <c r="C37">
        <v>1</v>
      </c>
      <c r="D37" s="2">
        <f ca="1" t="shared" si="8"/>
        <v>44742.543723842595</v>
      </c>
      <c r="E37" s="2">
        <f>D37-$N$1</f>
        <v>44742.543723842595</v>
      </c>
      <c r="F37">
        <f t="shared" si="9"/>
        <v>44742.543723842595</v>
      </c>
      <c r="H37" t="s">
        <v>57</v>
      </c>
      <c r="I37" t="s">
        <v>58</v>
      </c>
      <c r="K37" t="s">
        <v>553</v>
      </c>
      <c r="M37" s="13">
        <f>Factor!F75</f>
        <v>80</v>
      </c>
      <c r="N37" s="13">
        <f>Factor!G75</f>
        <v>77.5</v>
      </c>
      <c r="O37">
        <f t="shared" si="7"/>
        <v>0</v>
      </c>
      <c r="P37">
        <f t="shared" si="1"/>
        <v>0</v>
      </c>
      <c r="Q37">
        <f t="shared" si="4"/>
        <v>0</v>
      </c>
      <c r="R37">
        <f t="shared" si="2"/>
        <v>0</v>
      </c>
      <c r="S37" s="1" t="str">
        <f t="shared" si="3"/>
        <v>nog niet aanwezig</v>
      </c>
      <c r="V37" s="1">
        <f>101+1000*LOG10($W$2)-1000*LOG10(32)</f>
        <v>336.21271117433776</v>
      </c>
    </row>
    <row r="38" spans="2:22" ht="12.75">
      <c r="B38">
        <v>33</v>
      </c>
      <c r="D38" s="2"/>
      <c r="E38" s="2"/>
      <c r="H38" t="s">
        <v>57</v>
      </c>
      <c r="I38" t="s">
        <v>59</v>
      </c>
      <c r="M38" s="13">
        <f>Factor!F81</f>
        <v>103</v>
      </c>
      <c r="N38" s="13">
        <f>Factor!G81</f>
        <v>100.5</v>
      </c>
      <c r="O38">
        <f t="shared" si="7"/>
        <v>0</v>
      </c>
      <c r="P38">
        <f aca="true" t="shared" si="10" ref="P38:P69">MINUTE(G38)</f>
        <v>0</v>
      </c>
      <c r="Q38">
        <f t="shared" si="4"/>
        <v>0</v>
      </c>
      <c r="R38">
        <f aca="true" t="shared" si="11" ref="R38:R69">O38*3600+P38*60+Q38</f>
        <v>0</v>
      </c>
      <c r="S38" s="1" t="str">
        <f aca="true" t="shared" si="12" ref="S38:S69">IF(L38="ja",100*(O38*3600+P38*60+Q38)/N38,IF(L38="nee",100*(O38*3600+P38*60+Q38)/M38,"nog niet aanwezig"))</f>
        <v>nog niet aanwezig</v>
      </c>
      <c r="V38" s="1">
        <f>101+1000*LOG10($W$2)-1000*LOG10(33)</f>
        <v>322.8487496163564</v>
      </c>
    </row>
    <row r="39" spans="2:27" ht="12.75">
      <c r="B39">
        <v>34</v>
      </c>
      <c r="C39">
        <v>1</v>
      </c>
      <c r="D39" s="2">
        <f ca="1">NOW()</f>
        <v>44742.543723842595</v>
      </c>
      <c r="E39" s="2">
        <f aca="true" t="shared" si="13" ref="E39:E55">D39-$N$1</f>
        <v>44742.543723842595</v>
      </c>
      <c r="F39">
        <f t="shared" si="9"/>
        <v>44742.543723842595</v>
      </c>
      <c r="H39" t="s">
        <v>57</v>
      </c>
      <c r="I39" t="s">
        <v>507</v>
      </c>
      <c r="K39" t="s">
        <v>508</v>
      </c>
      <c r="M39" s="13">
        <f>Factor!F136</f>
        <v>79</v>
      </c>
      <c r="N39" s="13">
        <f>Factor!G136</f>
        <v>76.5</v>
      </c>
      <c r="O39">
        <f t="shared" si="7"/>
        <v>0</v>
      </c>
      <c r="P39">
        <f t="shared" si="10"/>
        <v>0</v>
      </c>
      <c r="Q39">
        <f aca="true" t="shared" si="14" ref="Q39:Q70">SECOND(G39)</f>
        <v>0</v>
      </c>
      <c r="R39">
        <f t="shared" si="11"/>
        <v>0</v>
      </c>
      <c r="S39" s="1" t="str">
        <f t="shared" si="12"/>
        <v>nog niet aanwezig</v>
      </c>
      <c r="V39" s="1">
        <f>101+1000*LOG10($W$2)-1000*LOG10(34)</f>
        <v>309.88377245198876</v>
      </c>
      <c r="AA39" s="1"/>
    </row>
    <row r="40" spans="2:22" ht="12.75">
      <c r="B40">
        <v>35</v>
      </c>
      <c r="C40">
        <v>1</v>
      </c>
      <c r="D40" s="2">
        <f aca="true" ca="1" t="shared" si="15" ref="D40:D55">NOW()</f>
        <v>44742.543723842595</v>
      </c>
      <c r="E40" s="2">
        <f t="shared" si="13"/>
        <v>44742.543723842595</v>
      </c>
      <c r="F40">
        <f aca="true" t="shared" si="16" ref="F40:F55">C40*E40</f>
        <v>44742.543723842595</v>
      </c>
      <c r="H40" t="s">
        <v>57</v>
      </c>
      <c r="I40" t="s">
        <v>584</v>
      </c>
      <c r="K40" t="s">
        <v>585</v>
      </c>
      <c r="M40" s="13">
        <f>Factor!F158</f>
        <v>80.5</v>
      </c>
      <c r="N40" s="13">
        <f>Factor!G158</f>
        <v>78</v>
      </c>
      <c r="O40">
        <f t="shared" si="7"/>
        <v>0</v>
      </c>
      <c r="P40">
        <f t="shared" si="10"/>
        <v>0</v>
      </c>
      <c r="Q40">
        <f t="shared" si="14"/>
        <v>0</v>
      </c>
      <c r="R40">
        <f t="shared" si="11"/>
        <v>0</v>
      </c>
      <c r="S40" s="1" t="str">
        <f t="shared" si="12"/>
        <v>nog niet aanwezig</v>
      </c>
      <c r="V40" s="1">
        <f>101+1000*LOG10($W$2)-1000*LOG10(35)</f>
        <v>297.2946451439682</v>
      </c>
    </row>
    <row r="41" spans="2:22" ht="12.75">
      <c r="B41">
        <v>36</v>
      </c>
      <c r="C41">
        <v>1</v>
      </c>
      <c r="D41" s="2">
        <f ca="1" t="shared" si="15"/>
        <v>44742.543723842595</v>
      </c>
      <c r="E41" s="2">
        <f t="shared" si="13"/>
        <v>44742.543723842595</v>
      </c>
      <c r="F41">
        <f t="shared" si="16"/>
        <v>44742.543723842595</v>
      </c>
      <c r="H41" t="s">
        <v>60</v>
      </c>
      <c r="I41" t="s">
        <v>61</v>
      </c>
      <c r="K41" t="s">
        <v>62</v>
      </c>
      <c r="M41" s="13">
        <f>Factor!F66</f>
        <v>102</v>
      </c>
      <c r="N41" s="13">
        <f>Factor!G66</f>
        <v>99.5</v>
      </c>
      <c r="O41">
        <f t="shared" si="7"/>
        <v>0</v>
      </c>
      <c r="P41">
        <f t="shared" si="10"/>
        <v>0</v>
      </c>
      <c r="Q41">
        <f t="shared" si="14"/>
        <v>0</v>
      </c>
      <c r="R41">
        <f t="shared" si="11"/>
        <v>0</v>
      </c>
      <c r="S41" s="1" t="str">
        <f t="shared" si="12"/>
        <v>nog niet aanwezig</v>
      </c>
      <c r="V41" s="1">
        <f>101+1000*LOG10($W$2)-1000*LOG10(36)</f>
        <v>285.06018872695654</v>
      </c>
    </row>
    <row r="42" spans="2:22" ht="12.75">
      <c r="B42">
        <v>37</v>
      </c>
      <c r="C42">
        <v>1</v>
      </c>
      <c r="D42" s="2">
        <f ca="1" t="shared" si="15"/>
        <v>44742.543723842595</v>
      </c>
      <c r="E42" s="2">
        <f t="shared" si="13"/>
        <v>44742.543723842595</v>
      </c>
      <c r="F42">
        <f t="shared" si="16"/>
        <v>44742.543723842595</v>
      </c>
      <c r="H42" t="s">
        <v>63</v>
      </c>
      <c r="I42" t="s">
        <v>64</v>
      </c>
      <c r="K42" t="s">
        <v>65</v>
      </c>
      <c r="M42" s="13">
        <f>Factor!F73</f>
        <v>100</v>
      </c>
      <c r="N42" s="13">
        <f>Factor!G73</f>
        <v>97.5</v>
      </c>
      <c r="O42">
        <f aca="true" t="shared" si="17" ref="O42:O74">HOUR(G42)</f>
        <v>0</v>
      </c>
      <c r="P42">
        <f t="shared" si="10"/>
        <v>0</v>
      </c>
      <c r="Q42">
        <f t="shared" si="14"/>
        <v>0</v>
      </c>
      <c r="R42">
        <f t="shared" si="11"/>
        <v>0</v>
      </c>
      <c r="S42" s="1" t="str">
        <f t="shared" si="12"/>
        <v>nog niet aanwezig</v>
      </c>
      <c r="V42" s="1">
        <f>101+1000*LOG10($W$2)-1000*LOG10(37)</f>
        <v>273.1609654272488</v>
      </c>
    </row>
    <row r="43" spans="2:22" ht="12.75">
      <c r="B43">
        <v>38</v>
      </c>
      <c r="C43">
        <v>1</v>
      </c>
      <c r="D43" s="2">
        <f ca="1" t="shared" si="15"/>
        <v>44742.543723842595</v>
      </c>
      <c r="E43" s="2">
        <f t="shared" si="13"/>
        <v>44742.543723842595</v>
      </c>
      <c r="F43">
        <f t="shared" si="16"/>
        <v>44742.543723842595</v>
      </c>
      <c r="H43" t="s">
        <v>456</v>
      </c>
      <c r="I43" t="s">
        <v>457</v>
      </c>
      <c r="K43" t="s">
        <v>459</v>
      </c>
      <c r="M43" s="13">
        <f>Factor!F123</f>
        <v>90</v>
      </c>
      <c r="N43" s="13">
        <f>Factor!G123</f>
        <v>87.5</v>
      </c>
      <c r="O43">
        <f t="shared" si="17"/>
        <v>0</v>
      </c>
      <c r="P43">
        <f t="shared" si="10"/>
        <v>0</v>
      </c>
      <c r="Q43">
        <f t="shared" si="14"/>
        <v>0</v>
      </c>
      <c r="R43">
        <f t="shared" si="11"/>
        <v>0</v>
      </c>
      <c r="S43" s="1" t="str">
        <f t="shared" si="12"/>
        <v>nog niet aanwezig</v>
      </c>
      <c r="V43" s="1">
        <f>101+1000*LOG10($W$2)-1000*LOG10(38)</f>
        <v>261.5790928774336</v>
      </c>
    </row>
    <row r="44" spans="2:22" ht="12.75">
      <c r="B44">
        <v>39</v>
      </c>
      <c r="C44">
        <v>1</v>
      </c>
      <c r="D44" s="2">
        <f ca="1" t="shared" si="15"/>
        <v>44742.543723842595</v>
      </c>
      <c r="E44" s="2">
        <f t="shared" si="13"/>
        <v>44742.543723842595</v>
      </c>
      <c r="F44">
        <f t="shared" si="16"/>
        <v>44742.543723842595</v>
      </c>
      <c r="H44" t="s">
        <v>66</v>
      </c>
      <c r="I44" t="s">
        <v>67</v>
      </c>
      <c r="K44" t="s">
        <v>68</v>
      </c>
      <c r="M44" s="13">
        <f>Factor!F19</f>
        <v>94</v>
      </c>
      <c r="N44" s="13">
        <f>Factor!G19</f>
        <v>91.5</v>
      </c>
      <c r="O44">
        <f t="shared" si="17"/>
        <v>0</v>
      </c>
      <c r="P44">
        <f t="shared" si="10"/>
        <v>0</v>
      </c>
      <c r="Q44">
        <f t="shared" si="14"/>
        <v>0</v>
      </c>
      <c r="R44">
        <f t="shared" si="11"/>
        <v>0</v>
      </c>
      <c r="S44" s="1" t="str">
        <f t="shared" si="12"/>
        <v>nog niet aanwezig</v>
      </c>
      <c r="V44" s="1">
        <f>101+1000*LOG10($W$2)-1000*LOG10(39)</f>
        <v>250.29808246774473</v>
      </c>
    </row>
    <row r="45" spans="2:22" ht="12.75">
      <c r="B45">
        <v>40</v>
      </c>
      <c r="C45">
        <v>1</v>
      </c>
      <c r="D45" s="2">
        <f ca="1" t="shared" si="15"/>
        <v>44742.543723842595</v>
      </c>
      <c r="E45" s="2">
        <f t="shared" si="13"/>
        <v>44742.543723842595</v>
      </c>
      <c r="F45">
        <f t="shared" si="16"/>
        <v>44742.543723842595</v>
      </c>
      <c r="H45" t="s">
        <v>593</v>
      </c>
      <c r="I45" t="s">
        <v>594</v>
      </c>
      <c r="K45" t="s">
        <v>595</v>
      </c>
      <c r="M45" s="13">
        <f>Factor!F159</f>
        <v>80.5</v>
      </c>
      <c r="N45" s="13">
        <f>Factor!G159</f>
        <v>78</v>
      </c>
      <c r="O45">
        <f t="shared" si="17"/>
        <v>0</v>
      </c>
      <c r="P45">
        <f t="shared" si="10"/>
        <v>0</v>
      </c>
      <c r="Q45">
        <f t="shared" si="14"/>
        <v>0</v>
      </c>
      <c r="R45">
        <f t="shared" si="11"/>
        <v>0</v>
      </c>
      <c r="S45" s="1" t="str">
        <f t="shared" si="12"/>
        <v>nog niet aanwezig</v>
      </c>
      <c r="V45" s="1">
        <f>101+1000*LOG10($W$2)-1000*LOG10(40)</f>
        <v>239.30269816628152</v>
      </c>
    </row>
    <row r="46" spans="2:22" ht="12.75">
      <c r="B46">
        <v>41</v>
      </c>
      <c r="C46">
        <v>1</v>
      </c>
      <c r="D46" s="2">
        <f ca="1" t="shared" si="15"/>
        <v>44742.543723842595</v>
      </c>
      <c r="E46" s="2">
        <f t="shared" si="13"/>
        <v>44742.543723842595</v>
      </c>
      <c r="F46">
        <f t="shared" si="16"/>
        <v>44742.543723842595</v>
      </c>
      <c r="H46" t="s">
        <v>409</v>
      </c>
      <c r="I46" t="s">
        <v>410</v>
      </c>
      <c r="K46" t="s">
        <v>413</v>
      </c>
      <c r="M46" s="13">
        <f>Factor!F104</f>
        <v>90</v>
      </c>
      <c r="N46" s="13">
        <f>Factor!G104</f>
        <v>87.5</v>
      </c>
      <c r="O46">
        <f t="shared" si="17"/>
        <v>0</v>
      </c>
      <c r="P46">
        <f t="shared" si="10"/>
        <v>0</v>
      </c>
      <c r="Q46">
        <f t="shared" si="14"/>
        <v>0</v>
      </c>
      <c r="R46">
        <f t="shared" si="11"/>
        <v>0</v>
      </c>
      <c r="S46" s="1" t="str">
        <f t="shared" si="12"/>
        <v>nog niet aanwezig</v>
      </c>
      <c r="V46" s="1">
        <f>101+1000*LOG10($W$2)-1000*LOG10(41)</f>
        <v>228.57883277450833</v>
      </c>
    </row>
    <row r="47" spans="2:22" ht="12.75">
      <c r="B47">
        <v>42</v>
      </c>
      <c r="C47">
        <v>1</v>
      </c>
      <c r="D47" s="2">
        <f ca="1" t="shared" si="15"/>
        <v>44742.543723842595</v>
      </c>
      <c r="E47" s="2">
        <f t="shared" si="13"/>
        <v>44742.543723842595</v>
      </c>
      <c r="F47">
        <f t="shared" si="16"/>
        <v>44742.543723842595</v>
      </c>
      <c r="H47" t="s">
        <v>69</v>
      </c>
      <c r="I47" t="s">
        <v>70</v>
      </c>
      <c r="M47" s="13">
        <f>Factor!F20</f>
        <v>107.6</v>
      </c>
      <c r="N47" s="13">
        <f>Factor!G20</f>
        <v>105.1</v>
      </c>
      <c r="O47">
        <f t="shared" si="17"/>
        <v>0</v>
      </c>
      <c r="P47">
        <f t="shared" si="10"/>
        <v>0</v>
      </c>
      <c r="Q47">
        <f t="shared" si="14"/>
        <v>0</v>
      </c>
      <c r="R47">
        <f t="shared" si="11"/>
        <v>0</v>
      </c>
      <c r="S47" s="1" t="str">
        <f t="shared" si="12"/>
        <v>nog niet aanwezig</v>
      </c>
      <c r="V47" s="1">
        <f>101+1000*LOG10($W$2)-1000*LOG10(42)</f>
        <v>218.1133990963433</v>
      </c>
    </row>
    <row r="48" spans="2:22" ht="12.75">
      <c r="B48">
        <v>43</v>
      </c>
      <c r="C48">
        <v>1</v>
      </c>
      <c r="D48" s="2">
        <f ca="1" t="shared" si="15"/>
        <v>44742.543723842595</v>
      </c>
      <c r="E48" s="2">
        <f t="shared" si="13"/>
        <v>44742.543723842595</v>
      </c>
      <c r="F48">
        <f t="shared" si="16"/>
        <v>44742.543723842595</v>
      </c>
      <c r="H48" t="s">
        <v>411</v>
      </c>
      <c r="I48" t="s">
        <v>414</v>
      </c>
      <c r="K48" t="s">
        <v>415</v>
      </c>
      <c r="M48" s="13">
        <f>Factor!F105</f>
        <v>110</v>
      </c>
      <c r="N48" s="13">
        <f>Factor!G105</f>
        <v>107.5</v>
      </c>
      <c r="O48">
        <f t="shared" si="17"/>
        <v>0</v>
      </c>
      <c r="P48">
        <f t="shared" si="10"/>
        <v>0</v>
      </c>
      <c r="Q48">
        <f t="shared" si="14"/>
        <v>0</v>
      </c>
      <c r="R48">
        <f t="shared" si="11"/>
        <v>0</v>
      </c>
      <c r="S48" s="1" t="str">
        <f t="shared" si="12"/>
        <v>nog niet aanwezig</v>
      </c>
      <c r="V48" s="1">
        <f>101+1000*LOG10($W$2)-1000*LOG10(43)</f>
        <v>207.89423391465743</v>
      </c>
    </row>
    <row r="49" spans="2:22" ht="12.75">
      <c r="B49">
        <v>44</v>
      </c>
      <c r="C49">
        <v>1</v>
      </c>
      <c r="D49" s="2">
        <f ca="1" t="shared" si="15"/>
        <v>44742.543723842595</v>
      </c>
      <c r="E49" s="2">
        <f t="shared" si="13"/>
        <v>44742.543723842595</v>
      </c>
      <c r="F49">
        <f t="shared" si="16"/>
        <v>44742.543723842595</v>
      </c>
      <c r="H49" t="s">
        <v>600</v>
      </c>
      <c r="I49" t="s">
        <v>601</v>
      </c>
      <c r="K49" t="s">
        <v>602</v>
      </c>
      <c r="M49" s="13">
        <f>Factor!F161</f>
        <v>102</v>
      </c>
      <c r="N49" s="13">
        <f>Factor!G161</f>
        <v>99.5</v>
      </c>
      <c r="O49">
        <f t="shared" si="17"/>
        <v>0</v>
      </c>
      <c r="P49">
        <f t="shared" si="10"/>
        <v>0</v>
      </c>
      <c r="Q49">
        <f t="shared" si="14"/>
        <v>0</v>
      </c>
      <c r="R49">
        <f t="shared" si="11"/>
        <v>0</v>
      </c>
      <c r="S49" s="1" t="str">
        <f t="shared" si="12"/>
        <v>nog niet aanwezig</v>
      </c>
      <c r="V49" s="1">
        <f>101+1000*LOG10($W$2)-1000*LOG10(44)</f>
        <v>197.91001300805647</v>
      </c>
    </row>
    <row r="50" spans="2:22" ht="12.75">
      <c r="B50">
        <v>45</v>
      </c>
      <c r="C50">
        <v>1</v>
      </c>
      <c r="D50" s="2">
        <f ca="1" t="shared" si="15"/>
        <v>44742.543723842595</v>
      </c>
      <c r="E50" s="2">
        <f t="shared" si="13"/>
        <v>44742.543723842595</v>
      </c>
      <c r="F50">
        <f t="shared" si="16"/>
        <v>44742.543723842595</v>
      </c>
      <c r="H50" t="s">
        <v>317</v>
      </c>
      <c r="I50" t="s">
        <v>318</v>
      </c>
      <c r="K50" t="s">
        <v>468</v>
      </c>
      <c r="M50" s="13">
        <f>Factor!F126</f>
        <v>92</v>
      </c>
      <c r="N50" s="13">
        <f>Factor!G126</f>
        <v>89.5</v>
      </c>
      <c r="O50">
        <f t="shared" si="17"/>
        <v>0</v>
      </c>
      <c r="P50">
        <f t="shared" si="10"/>
        <v>0</v>
      </c>
      <c r="Q50">
        <f t="shared" si="14"/>
        <v>0</v>
      </c>
      <c r="R50">
        <f t="shared" si="11"/>
        <v>0</v>
      </c>
      <c r="S50" s="1" t="str">
        <f t="shared" si="12"/>
        <v>nog niet aanwezig</v>
      </c>
      <c r="V50" s="1">
        <f>101+1000*LOG10($W$2)-1000*LOG10(45)</f>
        <v>188.15017571890007</v>
      </c>
    </row>
    <row r="51" spans="2:22" ht="12.75">
      <c r="B51">
        <v>46</v>
      </c>
      <c r="C51">
        <v>1</v>
      </c>
      <c r="D51" s="2">
        <f ca="1" t="shared" si="15"/>
        <v>44742.543723842595</v>
      </c>
      <c r="E51" s="2">
        <f t="shared" si="13"/>
        <v>44742.543723842595</v>
      </c>
      <c r="F51">
        <f t="shared" si="16"/>
        <v>44742.543723842595</v>
      </c>
      <c r="H51" t="s">
        <v>71</v>
      </c>
      <c r="I51" t="s">
        <v>72</v>
      </c>
      <c r="K51" t="s">
        <v>73</v>
      </c>
      <c r="M51" s="13">
        <f>Factor!F63</f>
        <v>95</v>
      </c>
      <c r="N51" s="13">
        <f>Factor!G63</f>
        <v>92.5</v>
      </c>
      <c r="O51">
        <f t="shared" si="17"/>
        <v>0</v>
      </c>
      <c r="P51">
        <f t="shared" si="10"/>
        <v>0</v>
      </c>
      <c r="Q51">
        <f t="shared" si="14"/>
        <v>0</v>
      </c>
      <c r="R51">
        <f t="shared" si="11"/>
        <v>0</v>
      </c>
      <c r="S51" s="1" t="str">
        <f t="shared" si="12"/>
        <v>nog niet aanwezig</v>
      </c>
      <c r="V51" s="1">
        <f>101+1000*LOG10($W$2)-1000*LOG10(46)</f>
        <v>178.6048578126697</v>
      </c>
    </row>
    <row r="52" spans="2:22" ht="12.75">
      <c r="B52">
        <v>47</v>
      </c>
      <c r="C52">
        <v>1</v>
      </c>
      <c r="D52" s="2">
        <f ca="1" t="shared" si="15"/>
        <v>44742.543723842595</v>
      </c>
      <c r="E52" s="2">
        <f t="shared" si="13"/>
        <v>44742.543723842595</v>
      </c>
      <c r="F52">
        <f t="shared" si="16"/>
        <v>44742.543723842595</v>
      </c>
      <c r="H52" t="s">
        <v>74</v>
      </c>
      <c r="I52" t="s">
        <v>324</v>
      </c>
      <c r="K52" t="s">
        <v>470</v>
      </c>
      <c r="M52" s="13">
        <f>Factor!F83</f>
        <v>0</v>
      </c>
      <c r="N52" s="13">
        <f>Factor!G83</f>
        <v>0</v>
      </c>
      <c r="O52">
        <f t="shared" si="17"/>
        <v>0</v>
      </c>
      <c r="P52">
        <f t="shared" si="10"/>
        <v>0</v>
      </c>
      <c r="Q52">
        <f t="shared" si="14"/>
        <v>0</v>
      </c>
      <c r="R52">
        <f t="shared" si="11"/>
        <v>0</v>
      </c>
      <c r="S52" s="1" t="str">
        <f t="shared" si="12"/>
        <v>nog niet aanwezig</v>
      </c>
      <c r="V52" s="1">
        <f>101+1000*LOG10($W$2)-1000*LOG10(47)</f>
        <v>169.26483155852634</v>
      </c>
    </row>
    <row r="53" spans="2:22" ht="12.75">
      <c r="B53">
        <v>48</v>
      </c>
      <c r="C53">
        <v>1</v>
      </c>
      <c r="D53" s="2">
        <f ca="1" t="shared" si="15"/>
        <v>44742.543723842595</v>
      </c>
      <c r="E53" s="2">
        <f t="shared" si="13"/>
        <v>44742.543723842595</v>
      </c>
      <c r="F53">
        <f t="shared" si="16"/>
        <v>44742.543723842595</v>
      </c>
      <c r="H53" t="s">
        <v>547</v>
      </c>
      <c r="I53" t="s">
        <v>452</v>
      </c>
      <c r="K53" t="s">
        <v>552</v>
      </c>
      <c r="M53" s="13">
        <f>Factor!F149</f>
        <v>98</v>
      </c>
      <c r="N53" s="13">
        <f>Factor!G149</f>
        <v>95.5</v>
      </c>
      <c r="O53">
        <f t="shared" si="17"/>
        <v>0</v>
      </c>
      <c r="P53">
        <f t="shared" si="10"/>
        <v>0</v>
      </c>
      <c r="Q53">
        <f t="shared" si="14"/>
        <v>0</v>
      </c>
      <c r="R53">
        <f t="shared" si="11"/>
        <v>0</v>
      </c>
      <c r="S53" s="1" t="str">
        <f t="shared" si="12"/>
        <v>nog niet aanwezig</v>
      </c>
      <c r="V53" s="1">
        <f>101+1000*LOG10($W$2)-1000*LOG10(48)</f>
        <v>160.12145211865663</v>
      </c>
    </row>
    <row r="54" spans="2:22" ht="12.75">
      <c r="B54">
        <v>49</v>
      </c>
      <c r="C54">
        <v>1</v>
      </c>
      <c r="D54" s="2">
        <f ca="1" t="shared" si="15"/>
        <v>44742.543723842595</v>
      </c>
      <c r="E54" s="2">
        <f t="shared" si="13"/>
        <v>44742.543723842595</v>
      </c>
      <c r="F54">
        <f t="shared" si="16"/>
        <v>44742.543723842595</v>
      </c>
      <c r="H54" t="s">
        <v>572</v>
      </c>
      <c r="I54" t="s">
        <v>573</v>
      </c>
      <c r="K54" t="s">
        <v>579</v>
      </c>
      <c r="M54" s="13">
        <f>Factor!F155</f>
        <v>115</v>
      </c>
      <c r="N54" s="13">
        <f>Factor!G155</f>
        <v>112.5</v>
      </c>
      <c r="O54">
        <f t="shared" si="17"/>
        <v>0</v>
      </c>
      <c r="P54">
        <f t="shared" si="10"/>
        <v>0</v>
      </c>
      <c r="Q54">
        <f t="shared" si="14"/>
        <v>0</v>
      </c>
      <c r="R54">
        <f t="shared" si="11"/>
        <v>0</v>
      </c>
      <c r="S54" s="1" t="str">
        <f t="shared" si="12"/>
        <v>nog niet aanwezig</v>
      </c>
      <c r="V54" s="1">
        <f>101+1000*LOG10($W$2)-1000*LOG10(49)</f>
        <v>151.16660946573006</v>
      </c>
    </row>
    <row r="55" spans="2:22" ht="12.75">
      <c r="B55">
        <v>50</v>
      </c>
      <c r="C55">
        <v>1</v>
      </c>
      <c r="D55" s="2">
        <f ca="1" t="shared" si="15"/>
        <v>44742.543723842595</v>
      </c>
      <c r="E55" s="2">
        <f t="shared" si="13"/>
        <v>44742.543723842595</v>
      </c>
      <c r="F55">
        <f t="shared" si="16"/>
        <v>44742.543723842595</v>
      </c>
      <c r="H55" t="s">
        <v>76</v>
      </c>
      <c r="I55" t="s">
        <v>592</v>
      </c>
      <c r="J55" t="s">
        <v>559</v>
      </c>
      <c r="K55" t="s">
        <v>517</v>
      </c>
      <c r="M55" s="13">
        <f>Factor!F64</f>
        <v>102.21435000000001</v>
      </c>
      <c r="N55" s="13">
        <f>Factor!G64</f>
        <v>99.71435000000001</v>
      </c>
      <c r="O55">
        <f t="shared" si="17"/>
        <v>0</v>
      </c>
      <c r="P55">
        <f t="shared" si="10"/>
        <v>0</v>
      </c>
      <c r="Q55">
        <f t="shared" si="14"/>
        <v>0</v>
      </c>
      <c r="R55">
        <f t="shared" si="11"/>
        <v>0</v>
      </c>
      <c r="S55" s="1" t="str">
        <f t="shared" si="12"/>
        <v>nog niet aanwezig</v>
      </c>
      <c r="V55" s="1">
        <f>101+1000*LOG10($W$2)-1000*LOG10(50)</f>
        <v>142.39268515822505</v>
      </c>
    </row>
    <row r="56" spans="2:22" ht="12.75">
      <c r="B56">
        <v>51</v>
      </c>
      <c r="H56" t="s">
        <v>416</v>
      </c>
      <c r="I56" t="s">
        <v>407</v>
      </c>
      <c r="K56" t="s">
        <v>418</v>
      </c>
      <c r="M56" s="13">
        <f>Factor!F106</f>
        <v>91.5</v>
      </c>
      <c r="N56" s="13">
        <f>Factor!G106</f>
        <v>89</v>
      </c>
      <c r="O56">
        <f t="shared" si="17"/>
        <v>0</v>
      </c>
      <c r="P56">
        <f t="shared" si="10"/>
        <v>0</v>
      </c>
      <c r="Q56">
        <f t="shared" si="14"/>
        <v>0</v>
      </c>
      <c r="R56">
        <f t="shared" si="11"/>
        <v>0</v>
      </c>
      <c r="S56" s="1" t="str">
        <f t="shared" si="12"/>
        <v>nog niet aanwezig</v>
      </c>
      <c r="V56" s="1">
        <f>101+1000*LOG10($W$2)-1000*LOG10(51)</f>
        <v>133.79251339630764</v>
      </c>
    </row>
    <row r="57" spans="2:22" ht="12.75">
      <c r="B57">
        <v>52</v>
      </c>
      <c r="H57" t="s">
        <v>79</v>
      </c>
      <c r="I57" t="s">
        <v>80</v>
      </c>
      <c r="K57" t="s">
        <v>81</v>
      </c>
      <c r="M57" s="13">
        <f>Factor!F21</f>
        <v>98</v>
      </c>
      <c r="N57" s="13">
        <f>Factor!G21</f>
        <v>95.5</v>
      </c>
      <c r="O57">
        <f t="shared" si="17"/>
        <v>0</v>
      </c>
      <c r="P57">
        <f t="shared" si="10"/>
        <v>0</v>
      </c>
      <c r="Q57">
        <f t="shared" si="14"/>
        <v>0</v>
      </c>
      <c r="R57">
        <f t="shared" si="11"/>
        <v>0</v>
      </c>
      <c r="S57" s="1" t="str">
        <f t="shared" si="12"/>
        <v>nog niet aanwezig</v>
      </c>
      <c r="V57" s="1">
        <f>101+1000*LOG10($W$2)-1000*LOG10(52)</f>
        <v>125.3593458594446</v>
      </c>
    </row>
    <row r="58" spans="2:22" ht="12.75">
      <c r="B58">
        <v>53</v>
      </c>
      <c r="H58" t="s">
        <v>82</v>
      </c>
      <c r="I58" t="s">
        <v>83</v>
      </c>
      <c r="M58" s="13">
        <f>Factor!F22</f>
        <v>98</v>
      </c>
      <c r="N58" s="13">
        <f>Factor!G22</f>
        <v>95.5</v>
      </c>
      <c r="O58">
        <f t="shared" si="17"/>
        <v>0</v>
      </c>
      <c r="P58">
        <f t="shared" si="10"/>
        <v>0</v>
      </c>
      <c r="Q58">
        <f t="shared" si="14"/>
        <v>0</v>
      </c>
      <c r="R58">
        <f t="shared" si="11"/>
        <v>0</v>
      </c>
      <c r="S58" s="1" t="str">
        <f t="shared" si="12"/>
        <v>nog niet aanwezig</v>
      </c>
      <c r="V58" s="1">
        <f>101+1000*LOG10($W$2)-1000*LOG10(53)</f>
        <v>117.08681989345496</v>
      </c>
    </row>
    <row r="59" spans="2:22" ht="12.75">
      <c r="B59">
        <v>54</v>
      </c>
      <c r="H59" t="s">
        <v>84</v>
      </c>
      <c r="I59" t="s">
        <v>85</v>
      </c>
      <c r="M59" s="13">
        <f>Factor!F68</f>
        <v>95</v>
      </c>
      <c r="N59" s="13">
        <f>Factor!G68</f>
        <v>92.5</v>
      </c>
      <c r="O59">
        <f t="shared" si="17"/>
        <v>0</v>
      </c>
      <c r="P59">
        <f t="shared" si="10"/>
        <v>0</v>
      </c>
      <c r="Q59">
        <f t="shared" si="14"/>
        <v>0</v>
      </c>
      <c r="R59">
        <f t="shared" si="11"/>
        <v>0</v>
      </c>
      <c r="S59" s="1" t="str">
        <f t="shared" si="12"/>
        <v>nog niet aanwezig</v>
      </c>
      <c r="V59" s="1">
        <f>101+1000*LOG10($W$2)-1000*LOG10(54)</f>
        <v>108.96892967127519</v>
      </c>
    </row>
    <row r="60" spans="2:19" ht="12.75">
      <c r="B60">
        <v>55</v>
      </c>
      <c r="H60" t="s">
        <v>86</v>
      </c>
      <c r="I60" t="s">
        <v>89</v>
      </c>
      <c r="M60" s="13">
        <f>Factor!F70</f>
        <v>103</v>
      </c>
      <c r="N60" s="13">
        <f>Factor!G70</f>
        <v>100.5</v>
      </c>
      <c r="O60">
        <f t="shared" si="17"/>
        <v>0</v>
      </c>
      <c r="P60">
        <f t="shared" si="10"/>
        <v>0</v>
      </c>
      <c r="Q60">
        <f t="shared" si="14"/>
        <v>0</v>
      </c>
      <c r="R60">
        <f t="shared" si="11"/>
        <v>0</v>
      </c>
      <c r="S60" s="1" t="str">
        <f t="shared" si="12"/>
        <v>nog niet aanwezig</v>
      </c>
    </row>
    <row r="61" spans="2:19" ht="12.75">
      <c r="B61">
        <v>56</v>
      </c>
      <c r="H61" t="s">
        <v>86</v>
      </c>
      <c r="I61" t="s">
        <v>87</v>
      </c>
      <c r="K61" t="s">
        <v>88</v>
      </c>
      <c r="M61" s="13">
        <f>Factor!F23</f>
        <v>97</v>
      </c>
      <c r="N61" s="13">
        <f>Factor!G23</f>
        <v>94.5</v>
      </c>
      <c r="O61">
        <f t="shared" si="17"/>
        <v>0</v>
      </c>
      <c r="P61">
        <f t="shared" si="10"/>
        <v>0</v>
      </c>
      <c r="Q61">
        <f t="shared" si="14"/>
        <v>0</v>
      </c>
      <c r="R61">
        <f t="shared" si="11"/>
        <v>0</v>
      </c>
      <c r="S61" s="1" t="str">
        <f t="shared" si="12"/>
        <v>nog niet aanwezig</v>
      </c>
    </row>
    <row r="62" spans="2:19" ht="12.75">
      <c r="B62">
        <v>57</v>
      </c>
      <c r="H62" t="s">
        <v>86</v>
      </c>
      <c r="I62" t="s">
        <v>90</v>
      </c>
      <c r="M62" s="13">
        <f>Factor!F82</f>
        <v>116</v>
      </c>
      <c r="N62" s="13">
        <f>Factor!G82</f>
        <v>113.5</v>
      </c>
      <c r="O62">
        <f t="shared" si="17"/>
        <v>0</v>
      </c>
      <c r="P62">
        <f t="shared" si="10"/>
        <v>0</v>
      </c>
      <c r="Q62">
        <f t="shared" si="14"/>
        <v>0</v>
      </c>
      <c r="R62">
        <f t="shared" si="11"/>
        <v>0</v>
      </c>
      <c r="S62" s="1" t="str">
        <f t="shared" si="12"/>
        <v>nog niet aanwezig</v>
      </c>
    </row>
    <row r="63" spans="2:19" ht="12.75">
      <c r="B63">
        <v>58</v>
      </c>
      <c r="H63" t="s">
        <v>562</v>
      </c>
      <c r="I63" t="s">
        <v>554</v>
      </c>
      <c r="J63" t="s">
        <v>563</v>
      </c>
      <c r="K63" t="s">
        <v>555</v>
      </c>
      <c r="M63" s="13">
        <f>Factor!F151</f>
        <v>98</v>
      </c>
      <c r="N63" s="13">
        <f>Factor!G151</f>
        <v>95.5</v>
      </c>
      <c r="O63">
        <f t="shared" si="17"/>
        <v>0</v>
      </c>
      <c r="P63">
        <f t="shared" si="10"/>
        <v>0</v>
      </c>
      <c r="Q63">
        <f t="shared" si="14"/>
        <v>0</v>
      </c>
      <c r="R63">
        <f t="shared" si="11"/>
        <v>0</v>
      </c>
      <c r="S63" s="1" t="str">
        <f t="shared" si="12"/>
        <v>nog niet aanwezig</v>
      </c>
    </row>
    <row r="64" spans="2:19" ht="12.75">
      <c r="B64">
        <v>59</v>
      </c>
      <c r="H64" t="s">
        <v>91</v>
      </c>
      <c r="I64" t="s">
        <v>92</v>
      </c>
      <c r="K64" t="s">
        <v>93</v>
      </c>
      <c r="M64" s="13">
        <f>Factor!F57</f>
        <v>109</v>
      </c>
      <c r="N64" s="13">
        <f>Factor!G57</f>
        <v>106.5</v>
      </c>
      <c r="O64">
        <f t="shared" si="17"/>
        <v>0</v>
      </c>
      <c r="P64">
        <f t="shared" si="10"/>
        <v>0</v>
      </c>
      <c r="Q64">
        <f t="shared" si="14"/>
        <v>0</v>
      </c>
      <c r="R64">
        <f t="shared" si="11"/>
        <v>0</v>
      </c>
      <c r="S64" s="1" t="str">
        <f t="shared" si="12"/>
        <v>nog niet aanwezig</v>
      </c>
    </row>
    <row r="65" spans="2:19" ht="12.75">
      <c r="B65">
        <v>60</v>
      </c>
      <c r="H65" t="s">
        <v>94</v>
      </c>
      <c r="I65" t="s">
        <v>95</v>
      </c>
      <c r="K65" t="s">
        <v>96</v>
      </c>
      <c r="M65" s="13">
        <f>Factor!F69</f>
        <v>109</v>
      </c>
      <c r="N65" s="13">
        <f>Factor!G69</f>
        <v>106.5</v>
      </c>
      <c r="O65">
        <f t="shared" si="17"/>
        <v>0</v>
      </c>
      <c r="P65">
        <f t="shared" si="10"/>
        <v>0</v>
      </c>
      <c r="Q65">
        <f t="shared" si="14"/>
        <v>0</v>
      </c>
      <c r="R65">
        <f t="shared" si="11"/>
        <v>0</v>
      </c>
      <c r="S65" s="1" t="str">
        <f t="shared" si="12"/>
        <v>nog niet aanwezig</v>
      </c>
    </row>
    <row r="66" spans="2:19" ht="12.75">
      <c r="B66">
        <v>61</v>
      </c>
      <c r="H66" t="s">
        <v>462</v>
      </c>
      <c r="I66" t="s">
        <v>500</v>
      </c>
      <c r="K66" t="s">
        <v>465</v>
      </c>
      <c r="M66" s="13">
        <f>Factor!F125</f>
        <v>0</v>
      </c>
      <c r="N66" s="13">
        <f>Factor!G125</f>
        <v>0</v>
      </c>
      <c r="O66">
        <f t="shared" si="17"/>
        <v>0</v>
      </c>
      <c r="P66">
        <f t="shared" si="10"/>
        <v>0</v>
      </c>
      <c r="Q66">
        <f t="shared" si="14"/>
        <v>0</v>
      </c>
      <c r="R66">
        <f t="shared" si="11"/>
        <v>0</v>
      </c>
      <c r="S66" s="1" t="str">
        <f t="shared" si="12"/>
        <v>nog niet aanwezig</v>
      </c>
    </row>
    <row r="67" spans="2:19" ht="12.75">
      <c r="B67">
        <v>62</v>
      </c>
      <c r="H67" t="s">
        <v>97</v>
      </c>
      <c r="I67" t="s">
        <v>98</v>
      </c>
      <c r="M67" s="13">
        <f>Factor!F67</f>
        <v>85</v>
      </c>
      <c r="N67" s="13">
        <f>Factor!G67</f>
        <v>82.5</v>
      </c>
      <c r="O67">
        <f t="shared" si="17"/>
        <v>0</v>
      </c>
      <c r="P67">
        <f t="shared" si="10"/>
        <v>0</v>
      </c>
      <c r="Q67">
        <f t="shared" si="14"/>
        <v>0</v>
      </c>
      <c r="R67">
        <f t="shared" si="11"/>
        <v>0</v>
      </c>
      <c r="S67" s="1" t="str">
        <f t="shared" si="12"/>
        <v>nog niet aanwezig</v>
      </c>
    </row>
    <row r="68" spans="2:19" ht="12.75">
      <c r="B68">
        <v>63</v>
      </c>
      <c r="H68" t="s">
        <v>395</v>
      </c>
      <c r="I68" t="s">
        <v>397</v>
      </c>
      <c r="K68" t="s">
        <v>398</v>
      </c>
      <c r="M68" s="13">
        <f>Factor!F102</f>
        <v>98</v>
      </c>
      <c r="N68" s="13">
        <f>Factor!G102</f>
        <v>95.5</v>
      </c>
      <c r="O68">
        <f t="shared" si="17"/>
        <v>0</v>
      </c>
      <c r="P68">
        <f t="shared" si="10"/>
        <v>0</v>
      </c>
      <c r="Q68">
        <f t="shared" si="14"/>
        <v>0</v>
      </c>
      <c r="R68">
        <f t="shared" si="11"/>
        <v>0</v>
      </c>
      <c r="S68" s="1" t="str">
        <f t="shared" si="12"/>
        <v>nog niet aanwezig</v>
      </c>
    </row>
    <row r="69" spans="2:19" ht="12.75">
      <c r="B69">
        <v>64</v>
      </c>
      <c r="H69" t="s">
        <v>395</v>
      </c>
      <c r="I69" t="s">
        <v>420</v>
      </c>
      <c r="K69" t="s">
        <v>419</v>
      </c>
      <c r="M69" s="13">
        <f>Factor!F107</f>
        <v>97.2</v>
      </c>
      <c r="N69" s="13">
        <f>Factor!G107</f>
        <v>94.7</v>
      </c>
      <c r="O69">
        <f t="shared" si="17"/>
        <v>0</v>
      </c>
      <c r="P69">
        <f t="shared" si="10"/>
        <v>0</v>
      </c>
      <c r="Q69">
        <f t="shared" si="14"/>
        <v>0</v>
      </c>
      <c r="R69">
        <f t="shared" si="11"/>
        <v>0</v>
      </c>
      <c r="S69" s="1" t="str">
        <f t="shared" si="12"/>
        <v>nog niet aanwezig</v>
      </c>
    </row>
    <row r="70" spans="2:19" ht="12.75">
      <c r="B70">
        <v>65</v>
      </c>
      <c r="H70" t="s">
        <v>525</v>
      </c>
      <c r="I70" t="s">
        <v>287</v>
      </c>
      <c r="K70" t="s">
        <v>532</v>
      </c>
      <c r="M70" s="13">
        <f>Factor!F140</f>
        <v>100</v>
      </c>
      <c r="N70" s="13">
        <f>Factor!G140</f>
        <v>97.5</v>
      </c>
      <c r="O70">
        <f t="shared" si="17"/>
        <v>0</v>
      </c>
      <c r="P70">
        <f aca="true" t="shared" si="18" ref="P70:P101">MINUTE(G70)</f>
        <v>0</v>
      </c>
      <c r="Q70">
        <f t="shared" si="14"/>
        <v>0</v>
      </c>
      <c r="R70">
        <f aca="true" t="shared" si="19" ref="R70:R101">O70*3600+P70*60+Q70</f>
        <v>0</v>
      </c>
      <c r="S70" s="1" t="str">
        <f aca="true" t="shared" si="20" ref="S70:S101">IF(L70="ja",100*(O70*3600+P70*60+Q70)/N70,IF(L70="nee",100*(O70*3600+P70*60+Q70)/M70,"nog niet aanwezig"))</f>
        <v>nog niet aanwezig</v>
      </c>
    </row>
    <row r="71" spans="2:19" ht="12.75">
      <c r="B71">
        <v>66</v>
      </c>
      <c r="H71" t="s">
        <v>100</v>
      </c>
      <c r="I71" t="s">
        <v>101</v>
      </c>
      <c r="K71" t="s">
        <v>102</v>
      </c>
      <c r="M71" s="13">
        <f>Factor!F26</f>
        <v>0</v>
      </c>
      <c r="N71" s="13">
        <f>Factor!G26</f>
        <v>0</v>
      </c>
      <c r="O71">
        <f t="shared" si="17"/>
        <v>0</v>
      </c>
      <c r="P71">
        <f t="shared" si="18"/>
        <v>0</v>
      </c>
      <c r="Q71">
        <f aca="true" t="shared" si="21" ref="Q71:Q102">SECOND(G71)</f>
        <v>0</v>
      </c>
      <c r="R71">
        <f t="shared" si="19"/>
        <v>0</v>
      </c>
      <c r="S71" s="1" t="str">
        <f t="shared" si="20"/>
        <v>nog niet aanwezig</v>
      </c>
    </row>
    <row r="72" spans="2:19" ht="12.75">
      <c r="B72">
        <v>67</v>
      </c>
      <c r="H72" s="25" t="s">
        <v>103</v>
      </c>
      <c r="I72" s="25" t="s">
        <v>539</v>
      </c>
      <c r="J72" s="25"/>
      <c r="K72" s="25" t="s">
        <v>565</v>
      </c>
      <c r="M72" s="13">
        <f>Factor!F147</f>
        <v>78</v>
      </c>
      <c r="N72" s="13">
        <f>Factor!G147</f>
        <v>75.5</v>
      </c>
      <c r="O72">
        <f t="shared" si="17"/>
        <v>0</v>
      </c>
      <c r="P72">
        <f t="shared" si="18"/>
        <v>0</v>
      </c>
      <c r="Q72">
        <f t="shared" si="21"/>
        <v>0</v>
      </c>
      <c r="R72">
        <f t="shared" si="19"/>
        <v>0</v>
      </c>
      <c r="S72" s="1" t="str">
        <f t="shared" si="20"/>
        <v>nog niet aanwezig</v>
      </c>
    </row>
    <row r="73" spans="2:19" ht="12.75">
      <c r="B73">
        <v>68</v>
      </c>
      <c r="H73" t="s">
        <v>643</v>
      </c>
      <c r="I73" t="s">
        <v>645</v>
      </c>
      <c r="K73" t="s">
        <v>644</v>
      </c>
      <c r="M73" s="13">
        <f>Factor!F173</f>
        <v>104</v>
      </c>
      <c r="N73" s="13">
        <f>Factor!G173</f>
        <v>101.5</v>
      </c>
      <c r="O73">
        <f t="shared" si="17"/>
        <v>0</v>
      </c>
      <c r="P73">
        <f t="shared" si="18"/>
        <v>0</v>
      </c>
      <c r="Q73">
        <f t="shared" si="21"/>
        <v>0</v>
      </c>
      <c r="R73">
        <f t="shared" si="19"/>
        <v>0</v>
      </c>
      <c r="S73" s="1" t="str">
        <f t="shared" si="20"/>
        <v>nog niet aanwezig</v>
      </c>
    </row>
    <row r="74" spans="2:19" ht="12.75">
      <c r="B74">
        <v>69</v>
      </c>
      <c r="H74" t="s">
        <v>608</v>
      </c>
      <c r="I74" t="s">
        <v>609</v>
      </c>
      <c r="K74" t="s">
        <v>612</v>
      </c>
      <c r="M74" s="13">
        <f>Factor!F164</f>
        <v>106</v>
      </c>
      <c r="N74" s="13">
        <f>Factor!G164</f>
        <v>103.5</v>
      </c>
      <c r="O74">
        <f t="shared" si="17"/>
        <v>0</v>
      </c>
      <c r="P74">
        <f t="shared" si="18"/>
        <v>0</v>
      </c>
      <c r="Q74">
        <f t="shared" si="21"/>
        <v>0</v>
      </c>
      <c r="R74">
        <f t="shared" si="19"/>
        <v>0</v>
      </c>
      <c r="S74" s="1" t="str">
        <f t="shared" si="20"/>
        <v>nog niet aanwezig</v>
      </c>
    </row>
    <row r="75" spans="2:19" ht="12.75">
      <c r="B75">
        <v>70</v>
      </c>
      <c r="H75" t="s">
        <v>353</v>
      </c>
      <c r="I75" t="s">
        <v>360</v>
      </c>
      <c r="K75" t="s">
        <v>354</v>
      </c>
      <c r="M75" s="13">
        <f>Factor!F97</f>
        <v>107</v>
      </c>
      <c r="N75" s="13">
        <f>Factor!G97</f>
        <v>104.5</v>
      </c>
      <c r="O75">
        <v>0</v>
      </c>
      <c r="P75">
        <f t="shared" si="18"/>
        <v>0</v>
      </c>
      <c r="Q75">
        <f t="shared" si="21"/>
        <v>0</v>
      </c>
      <c r="R75">
        <f t="shared" si="19"/>
        <v>0</v>
      </c>
      <c r="S75" s="1" t="str">
        <f t="shared" si="20"/>
        <v>nog niet aanwezig</v>
      </c>
    </row>
    <row r="76" spans="2:19" ht="12.75">
      <c r="B76">
        <v>71</v>
      </c>
      <c r="H76" t="s">
        <v>105</v>
      </c>
      <c r="I76" t="s">
        <v>106</v>
      </c>
      <c r="K76" t="s">
        <v>506</v>
      </c>
      <c r="M76" s="13">
        <f>Factor!F28</f>
        <v>106</v>
      </c>
      <c r="N76" s="13">
        <f>Factor!G28</f>
        <v>103.5</v>
      </c>
      <c r="O76">
        <f aca="true" t="shared" si="22" ref="O76:O107">HOUR(G76)</f>
        <v>0</v>
      </c>
      <c r="P76">
        <f t="shared" si="18"/>
        <v>0</v>
      </c>
      <c r="Q76">
        <f t="shared" si="21"/>
        <v>0</v>
      </c>
      <c r="R76">
        <f t="shared" si="19"/>
        <v>0</v>
      </c>
      <c r="S76" s="1" t="str">
        <f t="shared" si="20"/>
        <v>nog niet aanwezig</v>
      </c>
    </row>
    <row r="77" spans="2:19" ht="12.75">
      <c r="B77">
        <v>72</v>
      </c>
      <c r="H77" t="s">
        <v>460</v>
      </c>
      <c r="I77" t="s">
        <v>461</v>
      </c>
      <c r="K77" t="s">
        <v>464</v>
      </c>
      <c r="M77" s="13">
        <f>Factor!F124</f>
        <v>102</v>
      </c>
      <c r="N77" s="13">
        <f>Factor!G124</f>
        <v>99.5</v>
      </c>
      <c r="O77">
        <f t="shared" si="22"/>
        <v>0</v>
      </c>
      <c r="P77">
        <f t="shared" si="18"/>
        <v>0</v>
      </c>
      <c r="Q77">
        <f t="shared" si="21"/>
        <v>0</v>
      </c>
      <c r="R77">
        <f t="shared" si="19"/>
        <v>0</v>
      </c>
      <c r="S77" s="1" t="str">
        <f t="shared" si="20"/>
        <v>nog niet aanwezig</v>
      </c>
    </row>
    <row r="78" spans="2:19" ht="12.75">
      <c r="B78">
        <v>73</v>
      </c>
      <c r="H78" t="s">
        <v>107</v>
      </c>
      <c r="I78" t="s">
        <v>108</v>
      </c>
      <c r="M78" s="13">
        <f>Factor!F29</f>
        <v>111</v>
      </c>
      <c r="N78" s="13">
        <f>Factor!G29</f>
        <v>108.5</v>
      </c>
      <c r="O78">
        <f t="shared" si="22"/>
        <v>0</v>
      </c>
      <c r="P78">
        <f t="shared" si="18"/>
        <v>0</v>
      </c>
      <c r="Q78">
        <f t="shared" si="21"/>
        <v>0</v>
      </c>
      <c r="R78">
        <f t="shared" si="19"/>
        <v>0</v>
      </c>
      <c r="S78" s="1" t="str">
        <f t="shared" si="20"/>
        <v>nog niet aanwezig</v>
      </c>
    </row>
    <row r="79" spans="2:19" ht="12.75">
      <c r="B79">
        <v>74</v>
      </c>
      <c r="H79" t="s">
        <v>109</v>
      </c>
      <c r="I79" t="s">
        <v>477</v>
      </c>
      <c r="K79" t="s">
        <v>476</v>
      </c>
      <c r="M79" s="13">
        <f>Factor!F30</f>
        <v>100.5</v>
      </c>
      <c r="N79" s="13">
        <f>Factor!G30</f>
        <v>98</v>
      </c>
      <c r="O79">
        <f t="shared" si="22"/>
        <v>0</v>
      </c>
      <c r="P79">
        <f t="shared" si="18"/>
        <v>0</v>
      </c>
      <c r="Q79">
        <f t="shared" si="21"/>
        <v>0</v>
      </c>
      <c r="R79">
        <f t="shared" si="19"/>
        <v>0</v>
      </c>
      <c r="S79" s="1" t="str">
        <f t="shared" si="20"/>
        <v>nog niet aanwezig</v>
      </c>
    </row>
    <row r="80" spans="2:19" ht="12.75">
      <c r="B80">
        <v>75</v>
      </c>
      <c r="H80" t="s">
        <v>114</v>
      </c>
      <c r="I80" t="s">
        <v>115</v>
      </c>
      <c r="K80" t="s">
        <v>402</v>
      </c>
      <c r="M80" s="13">
        <f>Factor!F32</f>
        <v>0</v>
      </c>
      <c r="N80" s="13">
        <f>Factor!G32</f>
        <v>0</v>
      </c>
      <c r="O80">
        <f t="shared" si="22"/>
        <v>0</v>
      </c>
      <c r="P80">
        <f t="shared" si="18"/>
        <v>0</v>
      </c>
      <c r="Q80">
        <f t="shared" si="21"/>
        <v>0</v>
      </c>
      <c r="R80">
        <f t="shared" si="19"/>
        <v>0</v>
      </c>
      <c r="S80" s="1" t="str">
        <f t="shared" si="20"/>
        <v>nog niet aanwezig</v>
      </c>
    </row>
    <row r="81" spans="2:19" ht="12.75">
      <c r="B81">
        <v>76</v>
      </c>
      <c r="H81" t="s">
        <v>116</v>
      </c>
      <c r="I81" t="s">
        <v>117</v>
      </c>
      <c r="K81" t="s">
        <v>118</v>
      </c>
      <c r="M81" s="13">
        <f>Factor!F33</f>
        <v>103</v>
      </c>
      <c r="N81" s="13">
        <f>Factor!G33</f>
        <v>100.5</v>
      </c>
      <c r="O81">
        <f t="shared" si="22"/>
        <v>0</v>
      </c>
      <c r="P81">
        <f t="shared" si="18"/>
        <v>0</v>
      </c>
      <c r="Q81">
        <f t="shared" si="21"/>
        <v>0</v>
      </c>
      <c r="R81">
        <f t="shared" si="19"/>
        <v>0</v>
      </c>
      <c r="S81" s="1" t="str">
        <f t="shared" si="20"/>
        <v>nog niet aanwezig</v>
      </c>
    </row>
    <row r="82" spans="2:19" ht="12.75">
      <c r="B82">
        <v>77</v>
      </c>
      <c r="H82" t="s">
        <v>501</v>
      </c>
      <c r="I82" t="s">
        <v>502</v>
      </c>
      <c r="K82" t="s">
        <v>504</v>
      </c>
      <c r="M82" s="13">
        <f>Factor!F135</f>
        <v>109.2</v>
      </c>
      <c r="N82" s="13">
        <f>Factor!G135</f>
        <v>106.7</v>
      </c>
      <c r="O82">
        <f t="shared" si="22"/>
        <v>0</v>
      </c>
      <c r="P82">
        <f t="shared" si="18"/>
        <v>0</v>
      </c>
      <c r="Q82">
        <f t="shared" si="21"/>
        <v>0</v>
      </c>
      <c r="R82">
        <f t="shared" si="19"/>
        <v>0</v>
      </c>
      <c r="S82" s="1" t="str">
        <f t="shared" si="20"/>
        <v>nog niet aanwezig</v>
      </c>
    </row>
    <row r="83" spans="2:19" ht="12.75">
      <c r="B83">
        <v>78</v>
      </c>
      <c r="H83" t="s">
        <v>501</v>
      </c>
      <c r="I83" t="s">
        <v>477</v>
      </c>
      <c r="K83" t="s">
        <v>476</v>
      </c>
      <c r="M83" s="13">
        <f>Factor!F145</f>
        <v>101</v>
      </c>
      <c r="N83" s="13">
        <f>Factor!G145</f>
        <v>98.5</v>
      </c>
      <c r="O83">
        <f t="shared" si="22"/>
        <v>0</v>
      </c>
      <c r="P83">
        <f t="shared" si="18"/>
        <v>0</v>
      </c>
      <c r="Q83">
        <f t="shared" si="21"/>
        <v>0</v>
      </c>
      <c r="R83">
        <f t="shared" si="19"/>
        <v>0</v>
      </c>
      <c r="S83" s="1" t="str">
        <f t="shared" si="20"/>
        <v>nog niet aanwezig</v>
      </c>
    </row>
    <row r="84" spans="2:19" ht="12.75">
      <c r="B84">
        <v>79</v>
      </c>
      <c r="H84" t="s">
        <v>509</v>
      </c>
      <c r="I84" t="s">
        <v>510</v>
      </c>
      <c r="M84" s="13">
        <f>Factor!F137</f>
        <v>112.5</v>
      </c>
      <c r="N84" s="13">
        <f>Factor!G137</f>
        <v>110</v>
      </c>
      <c r="O84">
        <f t="shared" si="22"/>
        <v>0</v>
      </c>
      <c r="P84">
        <f t="shared" si="18"/>
        <v>0</v>
      </c>
      <c r="Q84">
        <f t="shared" si="21"/>
        <v>0</v>
      </c>
      <c r="R84">
        <f t="shared" si="19"/>
        <v>0</v>
      </c>
      <c r="S84" s="1" t="str">
        <f t="shared" si="20"/>
        <v>nog niet aanwezig</v>
      </c>
    </row>
    <row r="85" spans="2:19" ht="12.75">
      <c r="B85">
        <v>80</v>
      </c>
      <c r="H85" t="s">
        <v>509</v>
      </c>
      <c r="I85" t="s">
        <v>641</v>
      </c>
      <c r="K85" t="s">
        <v>642</v>
      </c>
      <c r="M85" s="13">
        <f>Factor!F172</f>
        <v>107</v>
      </c>
      <c r="N85" s="13">
        <f>Factor!G172</f>
        <v>104.5</v>
      </c>
      <c r="O85">
        <f t="shared" si="22"/>
        <v>0</v>
      </c>
      <c r="P85">
        <f t="shared" si="18"/>
        <v>0</v>
      </c>
      <c r="Q85">
        <f t="shared" si="21"/>
        <v>0</v>
      </c>
      <c r="R85">
        <f t="shared" si="19"/>
        <v>0</v>
      </c>
      <c r="S85" s="1" t="str">
        <f t="shared" si="20"/>
        <v>nog niet aanwezig</v>
      </c>
    </row>
    <row r="86" spans="2:19" ht="12.75">
      <c r="B86">
        <v>81</v>
      </c>
      <c r="H86" t="s">
        <v>119</v>
      </c>
      <c r="I86" t="s">
        <v>120</v>
      </c>
      <c r="M86" s="13">
        <f>Factor!F34</f>
        <v>0</v>
      </c>
      <c r="N86" s="13">
        <f>Factor!G34</f>
        <v>0</v>
      </c>
      <c r="O86">
        <f t="shared" si="22"/>
        <v>0</v>
      </c>
      <c r="P86">
        <f t="shared" si="18"/>
        <v>0</v>
      </c>
      <c r="Q86">
        <f t="shared" si="21"/>
        <v>0</v>
      </c>
      <c r="R86">
        <f t="shared" si="19"/>
        <v>0</v>
      </c>
      <c r="S86" s="1" t="str">
        <f t="shared" si="20"/>
        <v>nog niet aanwezig</v>
      </c>
    </row>
    <row r="87" spans="2:19" ht="12.75">
      <c r="B87">
        <v>82</v>
      </c>
      <c r="H87" t="s">
        <v>449</v>
      </c>
      <c r="I87" t="s">
        <v>453</v>
      </c>
      <c r="K87" t="s">
        <v>450</v>
      </c>
      <c r="M87" s="13">
        <f>Factor!F119</f>
        <v>110</v>
      </c>
      <c r="N87" s="13">
        <f>Factor!G119</f>
        <v>107.5</v>
      </c>
      <c r="O87">
        <f t="shared" si="22"/>
        <v>0</v>
      </c>
      <c r="P87">
        <f t="shared" si="18"/>
        <v>0</v>
      </c>
      <c r="Q87">
        <f t="shared" si="21"/>
        <v>0</v>
      </c>
      <c r="R87">
        <f t="shared" si="19"/>
        <v>0</v>
      </c>
      <c r="S87" s="1" t="str">
        <f t="shared" si="20"/>
        <v>nog niet aanwezig</v>
      </c>
    </row>
    <row r="88" spans="2:19" ht="12.75">
      <c r="B88">
        <v>83</v>
      </c>
      <c r="H88" t="s">
        <v>598</v>
      </c>
      <c r="I88" t="s">
        <v>457</v>
      </c>
      <c r="K88" t="s">
        <v>599</v>
      </c>
      <c r="M88" s="13">
        <f>Factor!F160</f>
        <v>89.5</v>
      </c>
      <c r="N88" s="13">
        <f>Factor!G160</f>
        <v>87</v>
      </c>
      <c r="O88">
        <f t="shared" si="22"/>
        <v>0</v>
      </c>
      <c r="P88">
        <f t="shared" si="18"/>
        <v>0</v>
      </c>
      <c r="Q88">
        <f t="shared" si="21"/>
        <v>0</v>
      </c>
      <c r="R88">
        <f t="shared" si="19"/>
        <v>0</v>
      </c>
      <c r="S88" s="1" t="str">
        <f t="shared" si="20"/>
        <v>nog niet aanwezig</v>
      </c>
    </row>
    <row r="89" spans="2:19" ht="12.75">
      <c r="B89">
        <v>84</v>
      </c>
      <c r="H89" t="s">
        <v>568</v>
      </c>
      <c r="I89" t="s">
        <v>569</v>
      </c>
      <c r="K89" t="s">
        <v>576</v>
      </c>
      <c r="M89" s="13">
        <f>Factor!F153</f>
        <v>107</v>
      </c>
      <c r="N89" s="13">
        <f>Factor!G153</f>
        <v>104.5</v>
      </c>
      <c r="O89">
        <f t="shared" si="22"/>
        <v>0</v>
      </c>
      <c r="P89">
        <f t="shared" si="18"/>
        <v>0</v>
      </c>
      <c r="Q89">
        <f t="shared" si="21"/>
        <v>0</v>
      </c>
      <c r="R89">
        <f t="shared" si="19"/>
        <v>0</v>
      </c>
      <c r="S89" s="1" t="str">
        <f t="shared" si="20"/>
        <v>nog niet aanwezig</v>
      </c>
    </row>
    <row r="90" spans="2:19" ht="12.75">
      <c r="B90">
        <v>85</v>
      </c>
      <c r="H90" t="s">
        <v>323</v>
      </c>
      <c r="I90" t="s">
        <v>324</v>
      </c>
      <c r="K90" t="s">
        <v>326</v>
      </c>
      <c r="M90" s="13">
        <f>Factor!F89</f>
        <v>100</v>
      </c>
      <c r="N90" s="13">
        <f>Factor!G89</f>
        <v>97.5</v>
      </c>
      <c r="O90">
        <f t="shared" si="22"/>
        <v>0</v>
      </c>
      <c r="P90">
        <f t="shared" si="18"/>
        <v>0</v>
      </c>
      <c r="Q90">
        <f t="shared" si="21"/>
        <v>0</v>
      </c>
      <c r="R90">
        <f t="shared" si="19"/>
        <v>0</v>
      </c>
      <c r="S90" s="1" t="str">
        <f t="shared" si="20"/>
        <v>nog niet aanwezig</v>
      </c>
    </row>
    <row r="91" spans="2:19" ht="12.75">
      <c r="B91">
        <v>86</v>
      </c>
      <c r="H91" t="s">
        <v>123</v>
      </c>
      <c r="I91" t="s">
        <v>124</v>
      </c>
      <c r="K91" t="s">
        <v>125</v>
      </c>
      <c r="M91" s="13">
        <f>Factor!F36</f>
        <v>128</v>
      </c>
      <c r="N91" s="13">
        <f>Factor!G36</f>
        <v>125.5</v>
      </c>
      <c r="O91">
        <f t="shared" si="22"/>
        <v>0</v>
      </c>
      <c r="P91">
        <f t="shared" si="18"/>
        <v>0</v>
      </c>
      <c r="Q91">
        <f t="shared" si="21"/>
        <v>0</v>
      </c>
      <c r="R91">
        <f t="shared" si="19"/>
        <v>0</v>
      </c>
      <c r="S91" s="1" t="str">
        <f t="shared" si="20"/>
        <v>nog niet aanwezig</v>
      </c>
    </row>
    <row r="92" spans="2:19" ht="12.75">
      <c r="B92">
        <v>87</v>
      </c>
      <c r="H92" t="s">
        <v>282</v>
      </c>
      <c r="I92" t="s">
        <v>537</v>
      </c>
      <c r="K92" t="s">
        <v>538</v>
      </c>
      <c r="M92" s="13">
        <f>Factor!F144</f>
        <v>69</v>
      </c>
      <c r="N92" s="13">
        <f>Factor!G144</f>
        <v>66.5</v>
      </c>
      <c r="O92">
        <f t="shared" si="22"/>
        <v>0</v>
      </c>
      <c r="P92">
        <f t="shared" si="18"/>
        <v>0</v>
      </c>
      <c r="Q92">
        <f t="shared" si="21"/>
        <v>0</v>
      </c>
      <c r="R92">
        <f t="shared" si="19"/>
        <v>0</v>
      </c>
      <c r="S92" s="1" t="str">
        <f t="shared" si="20"/>
        <v>nog niet aanwezig</v>
      </c>
    </row>
    <row r="93" spans="2:19" ht="12.75">
      <c r="B93">
        <v>88</v>
      </c>
      <c r="H93" t="s">
        <v>126</v>
      </c>
      <c r="I93" t="s">
        <v>407</v>
      </c>
      <c r="K93" t="s">
        <v>575</v>
      </c>
      <c r="M93" s="13">
        <f>Factor!F79</f>
        <v>86</v>
      </c>
      <c r="N93" s="13">
        <f>Factor!G79</f>
        <v>83.5</v>
      </c>
      <c r="O93">
        <f t="shared" si="22"/>
        <v>0</v>
      </c>
      <c r="P93">
        <f t="shared" si="18"/>
        <v>0</v>
      </c>
      <c r="Q93">
        <f t="shared" si="21"/>
        <v>0</v>
      </c>
      <c r="R93">
        <f t="shared" si="19"/>
        <v>0</v>
      </c>
      <c r="S93" s="1" t="str">
        <f t="shared" si="20"/>
        <v>nog niet aanwezig</v>
      </c>
    </row>
    <row r="94" spans="2:19" ht="12.75">
      <c r="B94">
        <v>89</v>
      </c>
      <c r="H94" t="s">
        <v>427</v>
      </c>
      <c r="I94" t="s">
        <v>428</v>
      </c>
      <c r="J94" t="s">
        <v>564</v>
      </c>
      <c r="K94" t="s">
        <v>429</v>
      </c>
      <c r="M94" s="13">
        <f>Factor!F111</f>
        <v>105</v>
      </c>
      <c r="N94" s="13">
        <f>Factor!G111</f>
        <v>102.5</v>
      </c>
      <c r="O94">
        <f t="shared" si="22"/>
        <v>0</v>
      </c>
      <c r="P94">
        <f t="shared" si="18"/>
        <v>0</v>
      </c>
      <c r="Q94">
        <f t="shared" si="21"/>
        <v>0</v>
      </c>
      <c r="R94">
        <f t="shared" si="19"/>
        <v>0</v>
      </c>
      <c r="S94" s="1" t="str">
        <f t="shared" si="20"/>
        <v>nog niet aanwezig</v>
      </c>
    </row>
    <row r="95" spans="2:19" ht="12.75">
      <c r="B95">
        <v>90</v>
      </c>
      <c r="H95" t="s">
        <v>128</v>
      </c>
      <c r="I95" t="s">
        <v>129</v>
      </c>
      <c r="K95" t="s">
        <v>130</v>
      </c>
      <c r="M95" s="13">
        <f>Factor!F37</f>
        <v>109</v>
      </c>
      <c r="N95" s="13">
        <f>Factor!G37</f>
        <v>106.5</v>
      </c>
      <c r="O95">
        <f t="shared" si="22"/>
        <v>0</v>
      </c>
      <c r="P95">
        <f t="shared" si="18"/>
        <v>0</v>
      </c>
      <c r="Q95">
        <f t="shared" si="21"/>
        <v>0</v>
      </c>
      <c r="R95">
        <f t="shared" si="19"/>
        <v>0</v>
      </c>
      <c r="S95" s="1" t="str">
        <f t="shared" si="20"/>
        <v>nog niet aanwezig</v>
      </c>
    </row>
    <row r="96" spans="2:19" ht="12.75">
      <c r="B96">
        <v>91</v>
      </c>
      <c r="H96" t="s">
        <v>511</v>
      </c>
      <c r="I96" t="s">
        <v>512</v>
      </c>
      <c r="J96" t="s">
        <v>556</v>
      </c>
      <c r="K96" t="s">
        <v>515</v>
      </c>
      <c r="M96" s="13">
        <f>Factor!F138</f>
        <v>112</v>
      </c>
      <c r="N96" s="13">
        <f>Factor!G138</f>
        <v>109.5</v>
      </c>
      <c r="O96">
        <f t="shared" si="22"/>
        <v>0</v>
      </c>
      <c r="P96">
        <f t="shared" si="18"/>
        <v>0</v>
      </c>
      <c r="Q96">
        <f t="shared" si="21"/>
        <v>0</v>
      </c>
      <c r="R96">
        <f t="shared" si="19"/>
        <v>0</v>
      </c>
      <c r="S96" s="1" t="str">
        <f t="shared" si="20"/>
        <v>nog niet aanwezig</v>
      </c>
    </row>
    <row r="97" spans="2:19" ht="12.75">
      <c r="B97">
        <v>92</v>
      </c>
      <c r="H97" t="s">
        <v>133</v>
      </c>
      <c r="I97" t="s">
        <v>134</v>
      </c>
      <c r="K97" t="s">
        <v>135</v>
      </c>
      <c r="M97" s="13">
        <f>Factor!F39</f>
        <v>89</v>
      </c>
      <c r="N97" s="13">
        <f>Factor!G39</f>
        <v>86.5</v>
      </c>
      <c r="O97">
        <f t="shared" si="22"/>
        <v>0</v>
      </c>
      <c r="P97">
        <f t="shared" si="18"/>
        <v>0</v>
      </c>
      <c r="Q97">
        <f t="shared" si="21"/>
        <v>0</v>
      </c>
      <c r="R97">
        <f t="shared" si="19"/>
        <v>0</v>
      </c>
      <c r="S97" s="1" t="str">
        <f t="shared" si="20"/>
        <v>nog niet aanwezig</v>
      </c>
    </row>
    <row r="98" spans="2:19" ht="12.75">
      <c r="B98">
        <v>93</v>
      </c>
      <c r="H98" t="s">
        <v>133</v>
      </c>
      <c r="I98" t="s">
        <v>650</v>
      </c>
      <c r="K98" t="s">
        <v>503</v>
      </c>
      <c r="M98" s="13">
        <f>Factor!F134</f>
        <v>89.5</v>
      </c>
      <c r="N98" s="13">
        <f>Factor!G134</f>
        <v>87</v>
      </c>
      <c r="O98">
        <f t="shared" si="22"/>
        <v>0</v>
      </c>
      <c r="P98">
        <f t="shared" si="18"/>
        <v>0</v>
      </c>
      <c r="Q98">
        <f t="shared" si="21"/>
        <v>0</v>
      </c>
      <c r="R98">
        <f t="shared" si="19"/>
        <v>0</v>
      </c>
      <c r="S98" s="1" t="str">
        <f t="shared" si="20"/>
        <v>nog niet aanwezig</v>
      </c>
    </row>
    <row r="99" spans="2:19" ht="12.75">
      <c r="B99">
        <v>94</v>
      </c>
      <c r="H99" t="s">
        <v>441</v>
      </c>
      <c r="I99" t="s">
        <v>320</v>
      </c>
      <c r="K99" t="s">
        <v>442</v>
      </c>
      <c r="M99" s="13">
        <f>Factor!F116</f>
        <v>107</v>
      </c>
      <c r="N99" s="13">
        <f>Factor!G116</f>
        <v>104.5</v>
      </c>
      <c r="O99">
        <f t="shared" si="22"/>
        <v>0</v>
      </c>
      <c r="P99">
        <f t="shared" si="18"/>
        <v>0</v>
      </c>
      <c r="Q99">
        <f t="shared" si="21"/>
        <v>0</v>
      </c>
      <c r="R99">
        <f t="shared" si="19"/>
        <v>0</v>
      </c>
      <c r="S99" s="1" t="str">
        <f t="shared" si="20"/>
        <v>nog niet aanwezig</v>
      </c>
    </row>
    <row r="100" spans="2:19" ht="12.75">
      <c r="B100">
        <v>95</v>
      </c>
      <c r="H100" t="s">
        <v>391</v>
      </c>
      <c r="I100" t="s">
        <v>393</v>
      </c>
      <c r="K100" t="s">
        <v>394</v>
      </c>
      <c r="M100">
        <f>Factor!F101</f>
        <v>106.26599999999999</v>
      </c>
      <c r="N100">
        <f>Factor!G101</f>
        <v>103.76599999999999</v>
      </c>
      <c r="O100">
        <f t="shared" si="22"/>
        <v>0</v>
      </c>
      <c r="P100">
        <f t="shared" si="18"/>
        <v>0</v>
      </c>
      <c r="Q100">
        <f t="shared" si="21"/>
        <v>0</v>
      </c>
      <c r="R100">
        <f t="shared" si="19"/>
        <v>0</v>
      </c>
      <c r="S100" s="1" t="str">
        <f t="shared" si="20"/>
        <v>nog niet aanwezig</v>
      </c>
    </row>
    <row r="101" spans="2:19" ht="12.75">
      <c r="B101">
        <v>96</v>
      </c>
      <c r="H101" t="s">
        <v>513</v>
      </c>
      <c r="I101" t="s">
        <v>514</v>
      </c>
      <c r="K101" t="s">
        <v>516</v>
      </c>
      <c r="M101" s="13">
        <f>Factor!F139</f>
        <v>105</v>
      </c>
      <c r="N101" s="13">
        <f>Factor!G139</f>
        <v>102.5</v>
      </c>
      <c r="O101">
        <f t="shared" si="22"/>
        <v>0</v>
      </c>
      <c r="P101">
        <f t="shared" si="18"/>
        <v>0</v>
      </c>
      <c r="Q101">
        <f t="shared" si="21"/>
        <v>0</v>
      </c>
      <c r="R101">
        <f t="shared" si="19"/>
        <v>0</v>
      </c>
      <c r="S101" s="1" t="str">
        <f t="shared" si="20"/>
        <v>nog niet aanwezig</v>
      </c>
    </row>
    <row r="102" spans="2:19" ht="12.75">
      <c r="B102">
        <v>97</v>
      </c>
      <c r="H102" t="s">
        <v>344</v>
      </c>
      <c r="I102" t="s">
        <v>345</v>
      </c>
      <c r="K102" t="s">
        <v>346</v>
      </c>
      <c r="M102" s="13">
        <f>Factor!F92</f>
        <v>114.8</v>
      </c>
      <c r="N102" s="13">
        <f>Factor!G92</f>
        <v>112.3</v>
      </c>
      <c r="O102">
        <f t="shared" si="22"/>
        <v>0</v>
      </c>
      <c r="P102">
        <f aca="true" t="shared" si="23" ref="P102:P133">MINUTE(G102)</f>
        <v>0</v>
      </c>
      <c r="Q102">
        <f t="shared" si="21"/>
        <v>0</v>
      </c>
      <c r="R102">
        <f aca="true" t="shared" si="24" ref="R102:R133">O102*3600+P102*60+Q102</f>
        <v>0</v>
      </c>
      <c r="S102" s="1" t="str">
        <f aca="true" t="shared" si="25" ref="S102:S133">IF(L102="ja",100*(O102*3600+P102*60+Q102)/N102,IF(L102="nee",100*(O102*3600+P102*60+Q102)/M102,"nog niet aanwezig"))</f>
        <v>nog niet aanwezig</v>
      </c>
    </row>
    <row r="103" spans="2:19" ht="12.75">
      <c r="B103">
        <v>98</v>
      </c>
      <c r="H103" t="s">
        <v>447</v>
      </c>
      <c r="I103" t="s">
        <v>452</v>
      </c>
      <c r="K103" t="s">
        <v>448</v>
      </c>
      <c r="M103" s="13">
        <f>Factor!F118</f>
        <v>98</v>
      </c>
      <c r="N103" s="13">
        <f>Factor!G118</f>
        <v>95.5</v>
      </c>
      <c r="O103">
        <f t="shared" si="22"/>
        <v>0</v>
      </c>
      <c r="P103">
        <f t="shared" si="23"/>
        <v>0</v>
      </c>
      <c r="Q103">
        <f aca="true" t="shared" si="26" ref="Q103:Q134">SECOND(G103)</f>
        <v>0</v>
      </c>
      <c r="R103">
        <f t="shared" si="24"/>
        <v>0</v>
      </c>
      <c r="S103" s="1" t="str">
        <f t="shared" si="25"/>
        <v>nog niet aanwezig</v>
      </c>
    </row>
    <row r="104" spans="2:19" ht="12.75">
      <c r="B104">
        <v>99</v>
      </c>
      <c r="H104" t="s">
        <v>447</v>
      </c>
      <c r="I104" t="s">
        <v>625</v>
      </c>
      <c r="K104" t="s">
        <v>612</v>
      </c>
      <c r="M104" s="13">
        <f>Factor!F167</f>
        <v>108</v>
      </c>
      <c r="N104" s="13">
        <f>Factor!G167</f>
        <v>105.5</v>
      </c>
      <c r="O104">
        <f t="shared" si="22"/>
        <v>0</v>
      </c>
      <c r="P104">
        <f t="shared" si="23"/>
        <v>0</v>
      </c>
      <c r="Q104">
        <f t="shared" si="26"/>
        <v>0</v>
      </c>
      <c r="R104">
        <f t="shared" si="24"/>
        <v>0</v>
      </c>
      <c r="S104" s="1" t="str">
        <f t="shared" si="25"/>
        <v>nog niet aanwezig</v>
      </c>
    </row>
    <row r="105" spans="2:19" ht="12.75">
      <c r="B105">
        <v>100</v>
      </c>
      <c r="H105" t="s">
        <v>138</v>
      </c>
      <c r="I105" t="s">
        <v>139</v>
      </c>
      <c r="K105" t="s">
        <v>140</v>
      </c>
      <c r="M105" s="13">
        <f>Factor!F41</f>
        <v>98</v>
      </c>
      <c r="N105" s="13">
        <f>Factor!G41</f>
        <v>95.5</v>
      </c>
      <c r="O105">
        <f t="shared" si="22"/>
        <v>0</v>
      </c>
      <c r="P105">
        <f t="shared" si="23"/>
        <v>0</v>
      </c>
      <c r="Q105">
        <f t="shared" si="26"/>
        <v>0</v>
      </c>
      <c r="R105">
        <f t="shared" si="24"/>
        <v>0</v>
      </c>
      <c r="S105" s="1" t="str">
        <f t="shared" si="25"/>
        <v>nog niet aanwezig</v>
      </c>
    </row>
    <row r="106" spans="2:19" ht="12.75">
      <c r="B106">
        <v>101</v>
      </c>
      <c r="H106" t="s">
        <v>528</v>
      </c>
      <c r="I106" t="s">
        <v>410</v>
      </c>
      <c r="K106" t="s">
        <v>535</v>
      </c>
      <c r="M106" s="13">
        <f>Factor!F142</f>
        <v>90</v>
      </c>
      <c r="N106" s="13">
        <f>Factor!G142</f>
        <v>87.5</v>
      </c>
      <c r="O106">
        <f t="shared" si="22"/>
        <v>0</v>
      </c>
      <c r="P106">
        <f t="shared" si="23"/>
        <v>0</v>
      </c>
      <c r="Q106">
        <f t="shared" si="26"/>
        <v>0</v>
      </c>
      <c r="R106">
        <f t="shared" si="24"/>
        <v>0</v>
      </c>
      <c r="S106" s="1" t="str">
        <f t="shared" si="25"/>
        <v>nog niet aanwezig</v>
      </c>
    </row>
    <row r="107" spans="2:19" ht="12.75">
      <c r="B107">
        <v>102</v>
      </c>
      <c r="H107" t="s">
        <v>142</v>
      </c>
      <c r="I107" t="s">
        <v>400</v>
      </c>
      <c r="K107" t="s">
        <v>144</v>
      </c>
      <c r="M107" s="13">
        <f>Factor!F43</f>
        <v>96</v>
      </c>
      <c r="N107" s="13">
        <f>Factor!G43</f>
        <v>93.5</v>
      </c>
      <c r="O107">
        <f t="shared" si="22"/>
        <v>0</v>
      </c>
      <c r="P107">
        <f t="shared" si="23"/>
        <v>0</v>
      </c>
      <c r="Q107">
        <f t="shared" si="26"/>
        <v>0</v>
      </c>
      <c r="R107">
        <f t="shared" si="24"/>
        <v>0</v>
      </c>
      <c r="S107" s="1" t="str">
        <f t="shared" si="25"/>
        <v>nog niet aanwezig</v>
      </c>
    </row>
    <row r="108" spans="2:19" ht="12.75">
      <c r="B108">
        <v>103</v>
      </c>
      <c r="H108" t="s">
        <v>146</v>
      </c>
      <c r="I108" t="s">
        <v>147</v>
      </c>
      <c r="M108" s="13">
        <f>Factor!F71</f>
        <v>101</v>
      </c>
      <c r="N108" s="13">
        <f>Factor!G71</f>
        <v>98.5</v>
      </c>
      <c r="O108">
        <f aca="true" t="shared" si="27" ref="O108:O151">HOUR(G108)</f>
        <v>0</v>
      </c>
      <c r="P108">
        <f t="shared" si="23"/>
        <v>0</v>
      </c>
      <c r="Q108">
        <f t="shared" si="26"/>
        <v>0</v>
      </c>
      <c r="R108">
        <f t="shared" si="24"/>
        <v>0</v>
      </c>
      <c r="S108" s="1" t="str">
        <f t="shared" si="25"/>
        <v>nog niet aanwezig</v>
      </c>
    </row>
    <row r="109" spans="2:19" ht="12.75">
      <c r="B109">
        <v>104</v>
      </c>
      <c r="H109" t="s">
        <v>347</v>
      </c>
      <c r="I109" t="s">
        <v>408</v>
      </c>
      <c r="K109" t="s">
        <v>334</v>
      </c>
      <c r="M109" s="13">
        <f>Factor!F93</f>
        <v>95</v>
      </c>
      <c r="N109" s="13">
        <f>Factor!G93</f>
        <v>92.5</v>
      </c>
      <c r="O109">
        <f t="shared" si="27"/>
        <v>0</v>
      </c>
      <c r="P109">
        <f t="shared" si="23"/>
        <v>0</v>
      </c>
      <c r="Q109">
        <f t="shared" si="26"/>
        <v>0</v>
      </c>
      <c r="R109">
        <f t="shared" si="24"/>
        <v>0</v>
      </c>
      <c r="S109" s="1" t="str">
        <f t="shared" si="25"/>
        <v>nog niet aanwezig</v>
      </c>
    </row>
    <row r="110" spans="2:19" ht="12.75">
      <c r="B110">
        <v>105</v>
      </c>
      <c r="H110" t="s">
        <v>529</v>
      </c>
      <c r="I110" t="s">
        <v>530</v>
      </c>
      <c r="K110" t="s">
        <v>536</v>
      </c>
      <c r="M110" s="13">
        <f>Factor!F143</f>
        <v>95</v>
      </c>
      <c r="N110" s="13">
        <f>Factor!G143</f>
        <v>92.5</v>
      </c>
      <c r="O110">
        <f t="shared" si="27"/>
        <v>0</v>
      </c>
      <c r="P110">
        <f t="shared" si="23"/>
        <v>0</v>
      </c>
      <c r="Q110">
        <f t="shared" si="26"/>
        <v>0</v>
      </c>
      <c r="R110">
        <f t="shared" si="24"/>
        <v>0</v>
      </c>
      <c r="S110" s="1" t="str">
        <f t="shared" si="25"/>
        <v>nog niet aanwezig</v>
      </c>
    </row>
    <row r="111" spans="2:19" ht="12.75">
      <c r="B111">
        <v>106</v>
      </c>
      <c r="H111" t="s">
        <v>425</v>
      </c>
      <c r="K111" t="s">
        <v>426</v>
      </c>
      <c r="M111" s="13">
        <f>Factor!F110</f>
        <v>105</v>
      </c>
      <c r="N111" s="13">
        <f>Factor!G110</f>
        <v>102.5</v>
      </c>
      <c r="O111">
        <f t="shared" si="27"/>
        <v>0</v>
      </c>
      <c r="P111">
        <f t="shared" si="23"/>
        <v>0</v>
      </c>
      <c r="Q111">
        <f t="shared" si="26"/>
        <v>0</v>
      </c>
      <c r="R111">
        <f t="shared" si="24"/>
        <v>0</v>
      </c>
      <c r="S111" s="1" t="str">
        <f t="shared" si="25"/>
        <v>nog niet aanwezig</v>
      </c>
    </row>
    <row r="112" spans="2:19" ht="12.75">
      <c r="B112">
        <v>107</v>
      </c>
      <c r="H112" t="s">
        <v>443</v>
      </c>
      <c r="I112" t="s">
        <v>445</v>
      </c>
      <c r="K112" t="s">
        <v>444</v>
      </c>
      <c r="M112" s="13">
        <f>Factor!F117</f>
        <v>96.5</v>
      </c>
      <c r="N112" s="13">
        <f>Factor!G117</f>
        <v>94</v>
      </c>
      <c r="O112">
        <f t="shared" si="27"/>
        <v>0</v>
      </c>
      <c r="P112">
        <f t="shared" si="23"/>
        <v>0</v>
      </c>
      <c r="Q112">
        <f t="shared" si="26"/>
        <v>0</v>
      </c>
      <c r="R112">
        <f t="shared" si="24"/>
        <v>0</v>
      </c>
      <c r="S112" s="1" t="str">
        <f t="shared" si="25"/>
        <v>nog niet aanwezig</v>
      </c>
    </row>
    <row r="113" spans="2:19" ht="12.75">
      <c r="B113">
        <v>108</v>
      </c>
      <c r="H113" t="s">
        <v>566</v>
      </c>
      <c r="I113" t="s">
        <v>407</v>
      </c>
      <c r="K113" t="s">
        <v>575</v>
      </c>
      <c r="M113" s="13">
        <f>Factor!F152</f>
        <v>86.5</v>
      </c>
      <c r="N113" s="13">
        <f>Factor!G152</f>
        <v>84</v>
      </c>
      <c r="O113">
        <f t="shared" si="27"/>
        <v>0</v>
      </c>
      <c r="P113">
        <f t="shared" si="23"/>
        <v>0</v>
      </c>
      <c r="Q113">
        <f t="shared" si="26"/>
        <v>0</v>
      </c>
      <c r="R113">
        <f t="shared" si="24"/>
        <v>0</v>
      </c>
      <c r="S113" s="1" t="str">
        <f t="shared" si="25"/>
        <v>nog niet aanwezig</v>
      </c>
    </row>
    <row r="114" spans="2:19" ht="12.75">
      <c r="B114">
        <v>109</v>
      </c>
      <c r="H114" t="s">
        <v>148</v>
      </c>
      <c r="I114" t="s">
        <v>149</v>
      </c>
      <c r="M114" s="13">
        <f>Factor!F45</f>
        <v>90</v>
      </c>
      <c r="N114" s="13">
        <f>Factor!G45</f>
        <v>87.5</v>
      </c>
      <c r="O114">
        <f t="shared" si="27"/>
        <v>0</v>
      </c>
      <c r="P114">
        <f t="shared" si="23"/>
        <v>0</v>
      </c>
      <c r="Q114">
        <f t="shared" si="26"/>
        <v>0</v>
      </c>
      <c r="R114">
        <f t="shared" si="24"/>
        <v>0</v>
      </c>
      <c r="S114" s="1" t="str">
        <f t="shared" si="25"/>
        <v>nog niet aanwezig</v>
      </c>
    </row>
    <row r="115" spans="2:19" ht="12.75">
      <c r="B115">
        <v>110</v>
      </c>
      <c r="H115" t="s">
        <v>150</v>
      </c>
      <c r="I115" t="s">
        <v>151</v>
      </c>
      <c r="M115" s="13">
        <f>Factor!F46</f>
        <v>89</v>
      </c>
      <c r="N115" s="13">
        <f>Factor!G46</f>
        <v>86.5</v>
      </c>
      <c r="O115">
        <f t="shared" si="27"/>
        <v>0</v>
      </c>
      <c r="P115">
        <f t="shared" si="23"/>
        <v>0</v>
      </c>
      <c r="Q115">
        <f t="shared" si="26"/>
        <v>0</v>
      </c>
      <c r="R115">
        <f t="shared" si="24"/>
        <v>0</v>
      </c>
      <c r="S115" s="1" t="str">
        <f t="shared" si="25"/>
        <v>nog niet aanwezig</v>
      </c>
    </row>
    <row r="116" spans="2:19" ht="12.75">
      <c r="B116">
        <v>111</v>
      </c>
      <c r="H116" t="s">
        <v>152</v>
      </c>
      <c r="I116" t="s">
        <v>139</v>
      </c>
      <c r="J116" t="s">
        <v>297</v>
      </c>
      <c r="K116" t="s">
        <v>153</v>
      </c>
      <c r="M116" s="13">
        <f>Factor!F47</f>
        <v>96.285</v>
      </c>
      <c r="N116" s="13">
        <f>Factor!G47</f>
        <v>93.785</v>
      </c>
      <c r="O116">
        <f t="shared" si="27"/>
        <v>0</v>
      </c>
      <c r="P116">
        <f t="shared" si="23"/>
        <v>0</v>
      </c>
      <c r="Q116">
        <f t="shared" si="26"/>
        <v>0</v>
      </c>
      <c r="R116">
        <f t="shared" si="24"/>
        <v>0</v>
      </c>
      <c r="S116" s="1" t="str">
        <f t="shared" si="25"/>
        <v>nog niet aanwezig</v>
      </c>
    </row>
    <row r="117" spans="2:19" ht="12.75">
      <c r="B117">
        <v>112</v>
      </c>
      <c r="H117" t="s">
        <v>152</v>
      </c>
      <c r="I117" t="s">
        <v>345</v>
      </c>
      <c r="K117" t="s">
        <v>478</v>
      </c>
      <c r="M117">
        <f>Factor!F129</f>
        <v>113.8</v>
      </c>
      <c r="N117">
        <f>Factor!G129</f>
        <v>111.3</v>
      </c>
      <c r="O117">
        <f t="shared" si="27"/>
        <v>0</v>
      </c>
      <c r="P117">
        <f t="shared" si="23"/>
        <v>0</v>
      </c>
      <c r="Q117">
        <f t="shared" si="26"/>
        <v>0</v>
      </c>
      <c r="R117">
        <f t="shared" si="24"/>
        <v>0</v>
      </c>
      <c r="S117" s="1" t="str">
        <f t="shared" si="25"/>
        <v>nog niet aanwezig</v>
      </c>
    </row>
    <row r="118" spans="2:19" ht="12.75">
      <c r="B118">
        <v>113</v>
      </c>
      <c r="H118" t="s">
        <v>533</v>
      </c>
      <c r="I118" t="s">
        <v>527</v>
      </c>
      <c r="K118" t="s">
        <v>534</v>
      </c>
      <c r="M118" s="13">
        <f>Factor!F141</f>
        <v>112</v>
      </c>
      <c r="N118" s="13">
        <f>Factor!G141</f>
        <v>109.5</v>
      </c>
      <c r="O118">
        <f t="shared" si="27"/>
        <v>0</v>
      </c>
      <c r="P118">
        <f t="shared" si="23"/>
        <v>0</v>
      </c>
      <c r="Q118">
        <f t="shared" si="26"/>
        <v>0</v>
      </c>
      <c r="R118">
        <f t="shared" si="24"/>
        <v>0</v>
      </c>
      <c r="S118" s="1" t="str">
        <f t="shared" si="25"/>
        <v>nog niet aanwezig</v>
      </c>
    </row>
    <row r="119" spans="2:19" ht="12.75">
      <c r="B119">
        <v>114</v>
      </c>
      <c r="H119" t="s">
        <v>154</v>
      </c>
      <c r="I119" t="s">
        <v>155</v>
      </c>
      <c r="K119" t="s">
        <v>156</v>
      </c>
      <c r="M119" s="13">
        <f>Factor!F55</f>
        <v>106</v>
      </c>
      <c r="N119" s="13">
        <f>Factor!G55</f>
        <v>103.5</v>
      </c>
      <c r="O119">
        <f t="shared" si="27"/>
        <v>0</v>
      </c>
      <c r="P119">
        <f t="shared" si="23"/>
        <v>0</v>
      </c>
      <c r="Q119">
        <f t="shared" si="26"/>
        <v>0</v>
      </c>
      <c r="R119">
        <f t="shared" si="24"/>
        <v>0</v>
      </c>
      <c r="S119" s="1" t="str">
        <f t="shared" si="25"/>
        <v>nog niet aanwezig</v>
      </c>
    </row>
    <row r="120" spans="2:20" ht="12.75">
      <c r="B120">
        <v>115</v>
      </c>
      <c r="H120" t="s">
        <v>479</v>
      </c>
      <c r="I120" t="s">
        <v>604</v>
      </c>
      <c r="M120" s="13">
        <f>Factor!F162</f>
        <v>94.5</v>
      </c>
      <c r="N120" s="13">
        <f>Factor!G162</f>
        <v>92</v>
      </c>
      <c r="O120">
        <f t="shared" si="27"/>
        <v>0</v>
      </c>
      <c r="P120">
        <f t="shared" si="23"/>
        <v>0</v>
      </c>
      <c r="Q120">
        <f t="shared" si="26"/>
        <v>0</v>
      </c>
      <c r="R120">
        <f t="shared" si="24"/>
        <v>0</v>
      </c>
      <c r="S120" s="1" t="str">
        <f t="shared" si="25"/>
        <v>nog niet aanwezig</v>
      </c>
      <c r="T120" s="1" t="str">
        <f>IF(M120="ja",100*(P120*3600+Q120*60+S120)/O120,IF(M120="nee",100*(P120*3600+Q120*60+S120)/N120,"nog niet aanwezig"))</f>
        <v>nog niet aanwezig</v>
      </c>
    </row>
    <row r="121" spans="2:19" ht="12.75">
      <c r="B121">
        <v>116</v>
      </c>
      <c r="H121" t="s">
        <v>479</v>
      </c>
      <c r="I121" t="s">
        <v>614</v>
      </c>
      <c r="K121" t="s">
        <v>615</v>
      </c>
      <c r="M121" s="13">
        <f>Factor!F165</f>
        <v>113</v>
      </c>
      <c r="N121" s="13">
        <f>Factor!G165</f>
        <v>110.5</v>
      </c>
      <c r="O121">
        <f t="shared" si="27"/>
        <v>0</v>
      </c>
      <c r="P121">
        <f t="shared" si="23"/>
        <v>0</v>
      </c>
      <c r="Q121">
        <f t="shared" si="26"/>
        <v>0</v>
      </c>
      <c r="R121">
        <f t="shared" si="24"/>
        <v>0</v>
      </c>
      <c r="S121" s="1" t="str">
        <f t="shared" si="25"/>
        <v>nog niet aanwezig</v>
      </c>
    </row>
    <row r="122" spans="2:20" ht="12.75">
      <c r="B122">
        <v>117</v>
      </c>
      <c r="H122" t="s">
        <v>361</v>
      </c>
      <c r="I122" t="s">
        <v>417</v>
      </c>
      <c r="J122" t="s">
        <v>560</v>
      </c>
      <c r="K122" t="s">
        <v>518</v>
      </c>
      <c r="M122" s="13">
        <f>Factor!F99</f>
        <v>91.5</v>
      </c>
      <c r="N122" s="13">
        <f>Factor!G99</f>
        <v>89</v>
      </c>
      <c r="O122">
        <f t="shared" si="27"/>
        <v>0</v>
      </c>
      <c r="P122">
        <f t="shared" si="23"/>
        <v>0</v>
      </c>
      <c r="Q122">
        <f t="shared" si="26"/>
        <v>0</v>
      </c>
      <c r="R122">
        <f t="shared" si="24"/>
        <v>0</v>
      </c>
      <c r="S122" s="1" t="str">
        <f t="shared" si="25"/>
        <v>nog niet aanwezig</v>
      </c>
      <c r="T122" s="1" t="str">
        <f>IF(M122="ja",100*(P122*3600+Q122*60+S122)/O122,IF(M122="nee",100*(P122*3600+Q122*60+S122)/N122,"nog niet aanwezig"))</f>
        <v>nog niet aanwezig</v>
      </c>
    </row>
    <row r="123" spans="2:19" ht="12.75">
      <c r="B123">
        <v>118</v>
      </c>
      <c r="H123" t="s">
        <v>626</v>
      </c>
      <c r="I123" t="s">
        <v>630</v>
      </c>
      <c r="K123" t="s">
        <v>629</v>
      </c>
      <c r="M123" s="13">
        <f>Factor!F168</f>
        <v>120</v>
      </c>
      <c r="N123" s="13">
        <f>Factor!G168</f>
        <v>117.5</v>
      </c>
      <c r="O123">
        <f t="shared" si="27"/>
        <v>0</v>
      </c>
      <c r="P123">
        <f t="shared" si="23"/>
        <v>0</v>
      </c>
      <c r="Q123">
        <f t="shared" si="26"/>
        <v>0</v>
      </c>
      <c r="R123">
        <f t="shared" si="24"/>
        <v>0</v>
      </c>
      <c r="S123" s="1" t="str">
        <f t="shared" si="25"/>
        <v>nog niet aanwezig</v>
      </c>
    </row>
    <row r="124" spans="2:19" ht="12.75">
      <c r="B124">
        <v>119</v>
      </c>
      <c r="H124" t="s">
        <v>540</v>
      </c>
      <c r="I124" t="s">
        <v>507</v>
      </c>
      <c r="K124" t="s">
        <v>301</v>
      </c>
      <c r="M124" s="13">
        <f>Factor!F121</f>
        <v>80</v>
      </c>
      <c r="N124" s="13">
        <f>Factor!G121</f>
        <v>78</v>
      </c>
      <c r="O124">
        <f t="shared" si="27"/>
        <v>0</v>
      </c>
      <c r="P124">
        <f t="shared" si="23"/>
        <v>0</v>
      </c>
      <c r="Q124">
        <f t="shared" si="26"/>
        <v>0</v>
      </c>
      <c r="R124">
        <f t="shared" si="24"/>
        <v>0</v>
      </c>
      <c r="S124" s="1" t="str">
        <f t="shared" si="25"/>
        <v>nog niet aanwezig</v>
      </c>
    </row>
    <row r="125" spans="2:19" ht="12.75">
      <c r="B125">
        <v>120</v>
      </c>
      <c r="H125" t="s">
        <v>540</v>
      </c>
      <c r="I125" t="s">
        <v>582</v>
      </c>
      <c r="K125" t="s">
        <v>583</v>
      </c>
      <c r="M125" s="13">
        <f>Factor!F157</f>
        <v>94.5</v>
      </c>
      <c r="N125" s="13">
        <f>Factor!G157</f>
        <v>92.5</v>
      </c>
      <c r="O125">
        <f t="shared" si="27"/>
        <v>0</v>
      </c>
      <c r="P125">
        <f t="shared" si="23"/>
        <v>0</v>
      </c>
      <c r="Q125">
        <f t="shared" si="26"/>
        <v>0</v>
      </c>
      <c r="R125">
        <f t="shared" si="24"/>
        <v>0</v>
      </c>
      <c r="S125" s="1" t="str">
        <f t="shared" si="25"/>
        <v>nog niet aanwezig</v>
      </c>
    </row>
    <row r="126" spans="2:19" ht="12.75">
      <c r="B126">
        <v>121</v>
      </c>
      <c r="H126" t="s">
        <v>540</v>
      </c>
      <c r="I126" t="s">
        <v>569</v>
      </c>
      <c r="K126" t="s">
        <v>651</v>
      </c>
      <c r="M126" s="13">
        <f>Factor!F174</f>
        <v>95.17312500000001</v>
      </c>
      <c r="N126" s="13">
        <f>Factor!G174</f>
        <v>92.67312500000001</v>
      </c>
      <c r="O126">
        <f t="shared" si="27"/>
        <v>0</v>
      </c>
      <c r="P126">
        <f t="shared" si="23"/>
        <v>0</v>
      </c>
      <c r="Q126">
        <f t="shared" si="26"/>
        <v>0</v>
      </c>
      <c r="R126">
        <f t="shared" si="24"/>
        <v>0</v>
      </c>
      <c r="S126" s="1" t="str">
        <f t="shared" si="25"/>
        <v>nog niet aanwezig</v>
      </c>
    </row>
    <row r="127" spans="2:19" ht="12.75">
      <c r="B127">
        <v>122</v>
      </c>
      <c r="H127" t="s">
        <v>158</v>
      </c>
      <c r="I127" t="s">
        <v>319</v>
      </c>
      <c r="K127" t="s">
        <v>401</v>
      </c>
      <c r="M127" s="13">
        <f>Factor!F86</f>
        <v>93.5</v>
      </c>
      <c r="N127" s="13">
        <f>Factor!G86</f>
        <v>91</v>
      </c>
      <c r="O127">
        <f t="shared" si="27"/>
        <v>0</v>
      </c>
      <c r="P127">
        <f t="shared" si="23"/>
        <v>0</v>
      </c>
      <c r="Q127">
        <f t="shared" si="26"/>
        <v>0</v>
      </c>
      <c r="R127">
        <f t="shared" si="24"/>
        <v>0</v>
      </c>
      <c r="S127" s="1" t="str">
        <f t="shared" si="25"/>
        <v>nog niet aanwezig</v>
      </c>
    </row>
    <row r="128" spans="2:19" ht="12.75">
      <c r="B128">
        <v>123</v>
      </c>
      <c r="H128" t="s">
        <v>158</v>
      </c>
      <c r="I128" t="s">
        <v>40</v>
      </c>
      <c r="M128" s="13">
        <f>Factor!F50</f>
        <v>111</v>
      </c>
      <c r="N128" s="13">
        <f>Factor!G50</f>
        <v>108.5</v>
      </c>
      <c r="O128">
        <f t="shared" si="27"/>
        <v>0</v>
      </c>
      <c r="P128">
        <f t="shared" si="23"/>
        <v>0</v>
      </c>
      <c r="Q128">
        <f t="shared" si="26"/>
        <v>0</v>
      </c>
      <c r="R128">
        <f t="shared" si="24"/>
        <v>0</v>
      </c>
      <c r="S128" s="1" t="str">
        <f t="shared" si="25"/>
        <v>nog niet aanwezig</v>
      </c>
    </row>
    <row r="129" spans="2:19" ht="12.75">
      <c r="B129">
        <v>124</v>
      </c>
      <c r="H129" t="s">
        <v>158</v>
      </c>
      <c r="I129" t="s">
        <v>610</v>
      </c>
      <c r="K129" t="s">
        <v>611</v>
      </c>
      <c r="M129" s="13">
        <f>Factor!F163</f>
        <v>96</v>
      </c>
      <c r="N129" s="13">
        <f>Factor!G163</f>
        <v>93.5</v>
      </c>
      <c r="O129">
        <f t="shared" si="27"/>
        <v>0</v>
      </c>
      <c r="P129">
        <f t="shared" si="23"/>
        <v>0</v>
      </c>
      <c r="Q129">
        <f t="shared" si="26"/>
        <v>0</v>
      </c>
      <c r="R129">
        <f t="shared" si="24"/>
        <v>0</v>
      </c>
      <c r="S129" s="1" t="str">
        <f t="shared" si="25"/>
        <v>nog niet aanwezig</v>
      </c>
    </row>
    <row r="130" spans="2:19" ht="12.75">
      <c r="B130">
        <v>125</v>
      </c>
      <c r="H130" t="s">
        <v>492</v>
      </c>
      <c r="I130" t="s">
        <v>491</v>
      </c>
      <c r="K130" t="s">
        <v>493</v>
      </c>
      <c r="M130" s="13">
        <f>Factor!F133</f>
        <v>98</v>
      </c>
      <c r="N130" s="13">
        <f>Factor!G133</f>
        <v>95.5</v>
      </c>
      <c r="O130">
        <f t="shared" si="27"/>
        <v>0</v>
      </c>
      <c r="P130">
        <f t="shared" si="23"/>
        <v>0</v>
      </c>
      <c r="Q130">
        <f t="shared" si="26"/>
        <v>0</v>
      </c>
      <c r="R130">
        <f t="shared" si="24"/>
        <v>0</v>
      </c>
      <c r="S130" s="1" t="str">
        <f t="shared" si="25"/>
        <v>nog niet aanwezig</v>
      </c>
    </row>
    <row r="131" spans="2:19" ht="12.75">
      <c r="B131">
        <v>126</v>
      </c>
      <c r="H131" t="s">
        <v>159</v>
      </c>
      <c r="I131" t="s">
        <v>160</v>
      </c>
      <c r="K131" t="s">
        <v>161</v>
      </c>
      <c r="M131" s="13">
        <f>Factor!F80</f>
        <v>0</v>
      </c>
      <c r="N131" s="13">
        <f>Factor!G80</f>
        <v>0</v>
      </c>
      <c r="O131">
        <f t="shared" si="27"/>
        <v>0</v>
      </c>
      <c r="P131">
        <f t="shared" si="23"/>
        <v>0</v>
      </c>
      <c r="Q131">
        <f t="shared" si="26"/>
        <v>0</v>
      </c>
      <c r="R131">
        <f t="shared" si="24"/>
        <v>0</v>
      </c>
      <c r="S131" s="1" t="str">
        <f t="shared" si="25"/>
        <v>nog niet aanwezig</v>
      </c>
    </row>
    <row r="132" spans="2:19" ht="12.75">
      <c r="B132">
        <v>127</v>
      </c>
      <c r="H132" t="s">
        <v>236</v>
      </c>
      <c r="I132" t="s">
        <v>90</v>
      </c>
      <c r="K132" t="s">
        <v>237</v>
      </c>
      <c r="M132" s="13">
        <f>Factor!F95</f>
        <v>116</v>
      </c>
      <c r="N132" s="13">
        <f>Factor!G95</f>
        <v>113.5</v>
      </c>
      <c r="O132">
        <f t="shared" si="27"/>
        <v>0</v>
      </c>
      <c r="P132">
        <f t="shared" si="23"/>
        <v>0</v>
      </c>
      <c r="Q132">
        <f t="shared" si="26"/>
        <v>0</v>
      </c>
      <c r="R132">
        <f t="shared" si="24"/>
        <v>0</v>
      </c>
      <c r="S132" s="1" t="str">
        <f t="shared" si="25"/>
        <v>nog niet aanwezig</v>
      </c>
    </row>
    <row r="133" spans="2:19" ht="12.75">
      <c r="B133">
        <v>128</v>
      </c>
      <c r="H133" t="s">
        <v>432</v>
      </c>
      <c r="I133" t="s">
        <v>206</v>
      </c>
      <c r="K133" t="s">
        <v>433</v>
      </c>
      <c r="M133" s="13">
        <f>Factor!F113</f>
        <v>107</v>
      </c>
      <c r="N133" s="13">
        <f>Factor!G113</f>
        <v>104.5</v>
      </c>
      <c r="O133">
        <f t="shared" si="27"/>
        <v>0</v>
      </c>
      <c r="P133">
        <f t="shared" si="23"/>
        <v>0</v>
      </c>
      <c r="Q133">
        <f t="shared" si="26"/>
        <v>0</v>
      </c>
      <c r="R133">
        <f t="shared" si="24"/>
        <v>0</v>
      </c>
      <c r="S133" s="1" t="str">
        <f t="shared" si="25"/>
        <v>nog niet aanwezig</v>
      </c>
    </row>
    <row r="134" spans="2:19" ht="12.75">
      <c r="B134">
        <v>129</v>
      </c>
      <c r="H134" t="s">
        <v>466</v>
      </c>
      <c r="I134" t="s">
        <v>467</v>
      </c>
      <c r="K134" t="s">
        <v>469</v>
      </c>
      <c r="M134" s="13">
        <f>Factor!F127</f>
        <v>93</v>
      </c>
      <c r="N134" s="13">
        <f>Factor!G127</f>
        <v>90.5</v>
      </c>
      <c r="O134">
        <f t="shared" si="27"/>
        <v>0</v>
      </c>
      <c r="P134">
        <f aca="true" t="shared" si="28" ref="P134:P151">MINUTE(G134)</f>
        <v>0</v>
      </c>
      <c r="Q134">
        <f t="shared" si="26"/>
        <v>0</v>
      </c>
      <c r="R134">
        <f aca="true" t="shared" si="29" ref="R134:R151">O134*3600+P134*60+Q134</f>
        <v>0</v>
      </c>
      <c r="S134" s="1" t="str">
        <f aca="true" t="shared" si="30" ref="S134:S151">IF(L134="ja",100*(O134*3600+P134*60+Q134)/N134,IF(L134="nee",100*(O134*3600+P134*60+Q134)/M134,"nog niet aanwezig"))</f>
        <v>nog niet aanwezig</v>
      </c>
    </row>
    <row r="135" spans="2:19" ht="12.75">
      <c r="B135">
        <v>130</v>
      </c>
      <c r="H135" t="s">
        <v>162</v>
      </c>
      <c r="I135" t="s">
        <v>163</v>
      </c>
      <c r="K135" t="s">
        <v>164</v>
      </c>
      <c r="M135" s="13">
        <f>Factor!F52</f>
        <v>97</v>
      </c>
      <c r="N135" s="13">
        <f>Factor!G52</f>
        <v>94.5</v>
      </c>
      <c r="O135">
        <f t="shared" si="27"/>
        <v>0</v>
      </c>
      <c r="P135">
        <f t="shared" si="28"/>
        <v>0</v>
      </c>
      <c r="Q135">
        <f aca="true" t="shared" si="31" ref="Q135:Q149">SECOND(G135)</f>
        <v>0</v>
      </c>
      <c r="R135">
        <f t="shared" si="29"/>
        <v>0</v>
      </c>
      <c r="S135" s="1" t="str">
        <f t="shared" si="30"/>
        <v>nog niet aanwezig</v>
      </c>
    </row>
    <row r="136" spans="2:19" ht="12.75">
      <c r="B136">
        <v>131</v>
      </c>
      <c r="H136" t="s">
        <v>350</v>
      </c>
      <c r="I136" t="s">
        <v>351</v>
      </c>
      <c r="K136" t="s">
        <v>352</v>
      </c>
      <c r="M136" s="13">
        <f>Factor!F96</f>
        <v>98</v>
      </c>
      <c r="N136" s="13">
        <f>Factor!G96</f>
        <v>95.5</v>
      </c>
      <c r="O136">
        <f t="shared" si="27"/>
        <v>0</v>
      </c>
      <c r="P136">
        <f t="shared" si="28"/>
        <v>0</v>
      </c>
      <c r="Q136">
        <f t="shared" si="31"/>
        <v>0</v>
      </c>
      <c r="R136">
        <f t="shared" si="29"/>
        <v>0</v>
      </c>
      <c r="S136" s="1" t="str">
        <f t="shared" si="30"/>
        <v>nog niet aanwezig</v>
      </c>
    </row>
    <row r="137" spans="2:19" ht="12.75">
      <c r="B137">
        <v>132</v>
      </c>
      <c r="H137" t="s">
        <v>454</v>
      </c>
      <c r="I137" t="s">
        <v>455</v>
      </c>
      <c r="K137" t="s">
        <v>458</v>
      </c>
      <c r="M137" s="13">
        <f>Factor!F122</f>
        <v>87</v>
      </c>
      <c r="N137" s="13">
        <f>Factor!G122</f>
        <v>84.5</v>
      </c>
      <c r="O137">
        <f t="shared" si="27"/>
        <v>0</v>
      </c>
      <c r="P137">
        <f t="shared" si="28"/>
        <v>0</v>
      </c>
      <c r="Q137">
        <f t="shared" si="31"/>
        <v>0</v>
      </c>
      <c r="R137">
        <f t="shared" si="29"/>
        <v>0</v>
      </c>
      <c r="S137" s="1" t="str">
        <f t="shared" si="30"/>
        <v>nog niet aanwezig</v>
      </c>
    </row>
    <row r="138" spans="2:19" ht="12.75">
      <c r="B138">
        <v>133</v>
      </c>
      <c r="H138" t="s">
        <v>165</v>
      </c>
      <c r="I138" t="s">
        <v>463</v>
      </c>
      <c r="K138" t="s">
        <v>167</v>
      </c>
      <c r="M138" s="13">
        <f>Factor!F54</f>
        <v>102</v>
      </c>
      <c r="N138" s="13">
        <f>Factor!G54</f>
        <v>99.5</v>
      </c>
      <c r="O138">
        <f t="shared" si="27"/>
        <v>0</v>
      </c>
      <c r="P138">
        <f t="shared" si="28"/>
        <v>0</v>
      </c>
      <c r="Q138">
        <f t="shared" si="31"/>
        <v>0</v>
      </c>
      <c r="R138">
        <f t="shared" si="29"/>
        <v>0</v>
      </c>
      <c r="S138" s="1" t="str">
        <f t="shared" si="30"/>
        <v>nog niet aanwezig</v>
      </c>
    </row>
    <row r="139" spans="2:19" ht="12.75">
      <c r="B139">
        <v>134</v>
      </c>
      <c r="H139" t="s">
        <v>404</v>
      </c>
      <c r="I139" t="s">
        <v>318</v>
      </c>
      <c r="K139" t="s">
        <v>405</v>
      </c>
      <c r="M139" s="13">
        <f>Factor!F85</f>
        <v>92</v>
      </c>
      <c r="N139" s="13">
        <f>Factor!G85</f>
        <v>89.5</v>
      </c>
      <c r="O139">
        <f t="shared" si="27"/>
        <v>0</v>
      </c>
      <c r="P139">
        <f t="shared" si="28"/>
        <v>0</v>
      </c>
      <c r="Q139">
        <f t="shared" si="31"/>
        <v>0</v>
      </c>
      <c r="R139">
        <f t="shared" si="29"/>
        <v>0</v>
      </c>
      <c r="S139" s="1" t="str">
        <f t="shared" si="30"/>
        <v>nog niet aanwezig</v>
      </c>
    </row>
    <row r="140" spans="2:19" ht="12.75">
      <c r="B140">
        <v>135</v>
      </c>
      <c r="H140" t="s">
        <v>633</v>
      </c>
      <c r="I140" t="s">
        <v>634</v>
      </c>
      <c r="K140" t="s">
        <v>638</v>
      </c>
      <c r="M140" s="13">
        <f>Factor!F171</f>
        <v>83.174</v>
      </c>
      <c r="N140" s="13">
        <f>Factor!G171</f>
        <v>80.674</v>
      </c>
      <c r="O140">
        <f t="shared" si="27"/>
        <v>0</v>
      </c>
      <c r="P140">
        <f t="shared" si="28"/>
        <v>0</v>
      </c>
      <c r="Q140">
        <f t="shared" si="31"/>
        <v>0</v>
      </c>
      <c r="R140">
        <f t="shared" si="29"/>
        <v>0</v>
      </c>
      <c r="S140" s="1" t="str">
        <f t="shared" si="30"/>
        <v>nog niet aanwezig</v>
      </c>
    </row>
    <row r="141" spans="2:19" ht="12.75">
      <c r="B141">
        <v>136</v>
      </c>
      <c r="H141" t="s">
        <v>168</v>
      </c>
      <c r="I141" t="s">
        <v>169</v>
      </c>
      <c r="K141" t="s">
        <v>170</v>
      </c>
      <c r="M141" s="13">
        <f>Factor!F103</f>
        <v>91.5</v>
      </c>
      <c r="N141" s="13">
        <f>Factor!G103</f>
        <v>89</v>
      </c>
      <c r="O141">
        <f t="shared" si="27"/>
        <v>0</v>
      </c>
      <c r="P141">
        <f t="shared" si="28"/>
        <v>0</v>
      </c>
      <c r="Q141">
        <f t="shared" si="31"/>
        <v>0</v>
      </c>
      <c r="R141">
        <f t="shared" si="29"/>
        <v>0</v>
      </c>
      <c r="S141" s="1" t="str">
        <f t="shared" si="30"/>
        <v>nog niet aanwezig</v>
      </c>
    </row>
    <row r="142" spans="2:19" ht="12.75">
      <c r="B142">
        <v>137</v>
      </c>
      <c r="H142" t="s">
        <v>451</v>
      </c>
      <c r="I142" t="s">
        <v>497</v>
      </c>
      <c r="J142" t="s">
        <v>558</v>
      </c>
      <c r="K142" t="s">
        <v>505</v>
      </c>
      <c r="M142" s="13">
        <f>Factor!F120</f>
        <v>90</v>
      </c>
      <c r="N142" s="13">
        <f>Factor!G120</f>
        <v>87.5</v>
      </c>
      <c r="O142">
        <f t="shared" si="27"/>
        <v>0</v>
      </c>
      <c r="P142">
        <f t="shared" si="28"/>
        <v>0</v>
      </c>
      <c r="Q142">
        <f t="shared" si="31"/>
        <v>0</v>
      </c>
      <c r="R142">
        <f t="shared" si="29"/>
        <v>0</v>
      </c>
      <c r="S142" s="1" t="str">
        <f t="shared" si="30"/>
        <v>nog niet aanwezig</v>
      </c>
    </row>
    <row r="143" spans="2:19" ht="12.75">
      <c r="B143">
        <v>138</v>
      </c>
      <c r="H143" t="s">
        <v>574</v>
      </c>
      <c r="I143" t="s">
        <v>586</v>
      </c>
      <c r="K143" t="s">
        <v>587</v>
      </c>
      <c r="M143" s="13">
        <f>Factor!F156</f>
        <v>103.9</v>
      </c>
      <c r="N143" s="13">
        <f>Factor!G156</f>
        <v>101.4</v>
      </c>
      <c r="O143">
        <f t="shared" si="27"/>
        <v>0</v>
      </c>
      <c r="P143">
        <f t="shared" si="28"/>
        <v>0</v>
      </c>
      <c r="Q143">
        <f t="shared" si="31"/>
        <v>0</v>
      </c>
      <c r="R143">
        <f t="shared" si="29"/>
        <v>0</v>
      </c>
      <c r="S143" s="1" t="str">
        <f t="shared" si="30"/>
        <v>nog niet aanwezig</v>
      </c>
    </row>
    <row r="144" spans="2:19" ht="12.75">
      <c r="B144">
        <v>139</v>
      </c>
      <c r="H144" t="s">
        <v>421</v>
      </c>
      <c r="I144" t="s">
        <v>423</v>
      </c>
      <c r="K144" t="s">
        <v>424</v>
      </c>
      <c r="M144" s="13">
        <f>Factor!F108</f>
        <v>87</v>
      </c>
      <c r="N144" s="13">
        <f>Factor!G177</f>
        <v>98.6</v>
      </c>
      <c r="O144">
        <f t="shared" si="27"/>
        <v>0</v>
      </c>
      <c r="P144">
        <f t="shared" si="28"/>
        <v>0</v>
      </c>
      <c r="Q144">
        <f t="shared" si="31"/>
        <v>0</v>
      </c>
      <c r="R144">
        <f t="shared" si="29"/>
        <v>0</v>
      </c>
      <c r="S144" s="1" t="str">
        <f t="shared" si="30"/>
        <v>nog niet aanwezig</v>
      </c>
    </row>
    <row r="145" spans="2:19" ht="12.75">
      <c r="B145">
        <v>134</v>
      </c>
      <c r="H145" s="25" t="s">
        <v>654</v>
      </c>
      <c r="I145" s="25" t="s">
        <v>666</v>
      </c>
      <c r="K145" s="25" t="s">
        <v>656</v>
      </c>
      <c r="M145" s="13">
        <f>Factor!F177</f>
        <v>101.1</v>
      </c>
      <c r="N145" s="13">
        <f>Factor!G177</f>
        <v>98.6</v>
      </c>
      <c r="O145">
        <f t="shared" si="27"/>
        <v>0</v>
      </c>
      <c r="P145">
        <f t="shared" si="28"/>
        <v>0</v>
      </c>
      <c r="Q145">
        <f t="shared" si="31"/>
        <v>0</v>
      </c>
      <c r="R145">
        <f t="shared" si="29"/>
        <v>0</v>
      </c>
      <c r="S145" s="1" t="str">
        <f t="shared" si="30"/>
        <v>nog niet aanwezig</v>
      </c>
    </row>
    <row r="146" spans="2:19" ht="12.75">
      <c r="B146">
        <v>135</v>
      </c>
      <c r="H146" s="25" t="s">
        <v>657</v>
      </c>
      <c r="I146" s="25" t="s">
        <v>658</v>
      </c>
      <c r="K146" s="25" t="s">
        <v>659</v>
      </c>
      <c r="M146" s="13">
        <f>Factor!F178</f>
        <v>93</v>
      </c>
      <c r="N146" s="13">
        <f>Factor!G178</f>
        <v>90.5</v>
      </c>
      <c r="O146">
        <f t="shared" si="27"/>
        <v>0</v>
      </c>
      <c r="P146">
        <f t="shared" si="28"/>
        <v>0</v>
      </c>
      <c r="Q146">
        <f t="shared" si="31"/>
        <v>0</v>
      </c>
      <c r="R146">
        <f t="shared" si="29"/>
        <v>0</v>
      </c>
      <c r="S146" s="1" t="str">
        <f t="shared" si="30"/>
        <v>nog niet aanwezig</v>
      </c>
    </row>
    <row r="147" spans="2:19" ht="12.75">
      <c r="B147">
        <v>136</v>
      </c>
      <c r="H147" s="25" t="s">
        <v>667</v>
      </c>
      <c r="I147" s="25" t="s">
        <v>668</v>
      </c>
      <c r="K147" s="25" t="s">
        <v>662</v>
      </c>
      <c r="M147" s="13">
        <f>Factor!F179</f>
        <v>97.5</v>
      </c>
      <c r="N147" s="13">
        <f>Factor!G179</f>
        <v>95</v>
      </c>
      <c r="O147">
        <f t="shared" si="27"/>
        <v>0</v>
      </c>
      <c r="P147">
        <f t="shared" si="28"/>
        <v>0</v>
      </c>
      <c r="Q147">
        <f t="shared" si="31"/>
        <v>0</v>
      </c>
      <c r="R147">
        <f t="shared" si="29"/>
        <v>0</v>
      </c>
      <c r="S147" s="1" t="str">
        <f t="shared" si="30"/>
        <v>nog niet aanwezig</v>
      </c>
    </row>
    <row r="148" spans="2:19" ht="12.75">
      <c r="B148">
        <v>137</v>
      </c>
      <c r="H148" s="25" t="s">
        <v>663</v>
      </c>
      <c r="I148" s="25" t="s">
        <v>664</v>
      </c>
      <c r="K148" s="25" t="s">
        <v>665</v>
      </c>
      <c r="M148" s="13">
        <f>Factor!F180</f>
        <v>104</v>
      </c>
      <c r="N148" s="13">
        <f>Factor!G180</f>
        <v>101.5</v>
      </c>
      <c r="O148">
        <f t="shared" si="27"/>
        <v>0</v>
      </c>
      <c r="P148">
        <f t="shared" si="28"/>
        <v>0</v>
      </c>
      <c r="Q148">
        <f t="shared" si="31"/>
        <v>0</v>
      </c>
      <c r="R148">
        <f t="shared" si="29"/>
        <v>0</v>
      </c>
      <c r="S148" s="1" t="str">
        <f t="shared" si="30"/>
        <v>nog niet aanwezig</v>
      </c>
    </row>
    <row r="149" spans="2:19" ht="12.75">
      <c r="B149">
        <v>138</v>
      </c>
      <c r="H149" s="25" t="s">
        <v>670</v>
      </c>
      <c r="I149" s="25" t="s">
        <v>671</v>
      </c>
      <c r="K149" s="25" t="s">
        <v>674</v>
      </c>
      <c r="M149" s="13">
        <f>Factor!F181</f>
        <v>90</v>
      </c>
      <c r="N149" s="13">
        <f>Factor!G181</f>
        <v>87.5</v>
      </c>
      <c r="O149">
        <f t="shared" si="27"/>
        <v>0</v>
      </c>
      <c r="P149">
        <f t="shared" si="28"/>
        <v>0</v>
      </c>
      <c r="Q149">
        <f t="shared" si="31"/>
        <v>0</v>
      </c>
      <c r="R149">
        <f t="shared" si="29"/>
        <v>0</v>
      </c>
      <c r="S149" s="1" t="str">
        <f t="shared" si="30"/>
        <v>nog niet aanwezig</v>
      </c>
    </row>
    <row r="150" spans="2:19" ht="12.75">
      <c r="B150">
        <v>139</v>
      </c>
      <c r="H150" s="25" t="s">
        <v>57</v>
      </c>
      <c r="I150" s="25" t="s">
        <v>673</v>
      </c>
      <c r="M150" s="13">
        <f>Factor!F182</f>
        <v>83</v>
      </c>
      <c r="N150" s="13">
        <f>Factor!G182</f>
        <v>80.5</v>
      </c>
      <c r="O150">
        <f t="shared" si="27"/>
        <v>0</v>
      </c>
      <c r="P150">
        <f t="shared" si="28"/>
        <v>0</v>
      </c>
      <c r="Q150">
        <f>SECOND(G150)</f>
        <v>0</v>
      </c>
      <c r="R150">
        <f t="shared" si="29"/>
        <v>0</v>
      </c>
      <c r="S150" s="1" t="str">
        <f t="shared" si="30"/>
        <v>nog niet aanwezig</v>
      </c>
    </row>
    <row r="151" spans="8:19" ht="12.75">
      <c r="H151" s="25" t="s">
        <v>675</v>
      </c>
      <c r="I151" s="25" t="s">
        <v>676</v>
      </c>
      <c r="K151" t="s">
        <v>677</v>
      </c>
      <c r="M151" s="13">
        <f>Factor!F183</f>
        <v>116</v>
      </c>
      <c r="N151" s="13">
        <f>Factor!G183</f>
        <v>113.5</v>
      </c>
      <c r="O151">
        <f t="shared" si="27"/>
        <v>0</v>
      </c>
      <c r="P151">
        <f t="shared" si="28"/>
        <v>0</v>
      </c>
      <c r="Q151">
        <f>SECOND(G151)</f>
        <v>0</v>
      </c>
      <c r="R151">
        <f t="shared" si="29"/>
        <v>0</v>
      </c>
      <c r="S151" s="1" t="str">
        <f t="shared" si="30"/>
        <v>nog niet aanwezig</v>
      </c>
    </row>
  </sheetData>
  <sheetProtection/>
  <printOptions/>
  <pageMargins left="0.45" right="0.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="80" zoomScaleNormal="80" zoomScalePageLayoutView="0" workbookViewId="0" topLeftCell="A90">
      <selection activeCell="P119" sqref="P119"/>
    </sheetView>
  </sheetViews>
  <sheetFormatPr defaultColWidth="9.140625" defaultRowHeight="12.75"/>
  <cols>
    <col min="1" max="1" width="42.8515625" style="0" customWidth="1"/>
    <col min="2" max="2" width="12.00390625" style="0" customWidth="1"/>
    <col min="3" max="3" width="16.8515625" style="0" customWidth="1"/>
    <col min="4" max="4" width="9.57421875" style="0" customWidth="1"/>
    <col min="5" max="5" width="11.140625" style="0" customWidth="1"/>
    <col min="6" max="6" width="9.57421875" style="0" customWidth="1"/>
    <col min="7" max="8" width="10.57421875" style="0" customWidth="1"/>
  </cols>
  <sheetData>
    <row r="1" ht="30">
      <c r="B1" s="11" t="s">
        <v>174</v>
      </c>
    </row>
    <row r="2" spans="2:24" ht="30">
      <c r="B2" s="11"/>
      <c r="T2">
        <v>2014</v>
      </c>
      <c r="U2">
        <v>2015</v>
      </c>
      <c r="V2">
        <v>2016</v>
      </c>
      <c r="W2">
        <v>2017</v>
      </c>
      <c r="X2">
        <v>2018</v>
      </c>
    </row>
    <row r="4" spans="2:16" ht="12.75">
      <c r="B4" t="s">
        <v>2</v>
      </c>
      <c r="C4" t="s">
        <v>3</v>
      </c>
      <c r="D4" t="s">
        <v>175</v>
      </c>
      <c r="E4" s="6" t="s">
        <v>175</v>
      </c>
      <c r="F4" t="s">
        <v>176</v>
      </c>
      <c r="G4" t="s">
        <v>176</v>
      </c>
      <c r="H4" t="s">
        <v>177</v>
      </c>
      <c r="I4" t="s">
        <v>178</v>
      </c>
      <c r="J4" t="s">
        <v>179</v>
      </c>
      <c r="K4" t="s">
        <v>180</v>
      </c>
      <c r="L4" t="s">
        <v>181</v>
      </c>
      <c r="M4" t="s">
        <v>182</v>
      </c>
      <c r="N4" t="s">
        <v>183</v>
      </c>
      <c r="O4" t="s">
        <v>184</v>
      </c>
      <c r="P4" t="s">
        <v>185</v>
      </c>
    </row>
    <row r="5" spans="4:17" ht="12.75">
      <c r="D5" t="s">
        <v>11</v>
      </c>
      <c r="E5" s="6" t="s">
        <v>4</v>
      </c>
      <c r="F5" t="s">
        <v>11</v>
      </c>
      <c r="G5" t="s">
        <v>4</v>
      </c>
      <c r="Q5">
        <f>COUNTA(I5:P5)</f>
        <v>0</v>
      </c>
    </row>
    <row r="6" spans="9:17" ht="12.75">
      <c r="I6">
        <f>COUNTA(I7:I149)</f>
        <v>104</v>
      </c>
      <c r="J6">
        <f aca="true" t="shared" si="0" ref="J6:P6">COUNTA(J7:J200)</f>
        <v>1</v>
      </c>
      <c r="K6">
        <f t="shared" si="0"/>
        <v>1</v>
      </c>
      <c r="L6">
        <f t="shared" si="0"/>
        <v>1</v>
      </c>
      <c r="M6">
        <f t="shared" si="0"/>
        <v>2</v>
      </c>
      <c r="N6">
        <f t="shared" si="0"/>
        <v>6</v>
      </c>
      <c r="O6">
        <f t="shared" si="0"/>
        <v>4</v>
      </c>
      <c r="P6">
        <f t="shared" si="0"/>
        <v>4</v>
      </c>
      <c r="Q6">
        <f aca="true" t="shared" si="1" ref="Q6:Q21">COUNTA(I6:P6)</f>
        <v>8</v>
      </c>
    </row>
    <row r="7" spans="4:7" ht="12.75">
      <c r="D7" s="12"/>
      <c r="E7" s="12"/>
      <c r="F7" s="12"/>
      <c r="G7" s="12"/>
    </row>
    <row r="8" spans="2:17" ht="12.75">
      <c r="B8" t="s">
        <v>21</v>
      </c>
      <c r="C8" t="s">
        <v>22</v>
      </c>
      <c r="D8" s="12">
        <v>109</v>
      </c>
      <c r="E8" s="12">
        <f aca="true" t="shared" si="2" ref="E8:E23">D8-2.5</f>
        <v>106.5</v>
      </c>
      <c r="F8" s="12">
        <f>D8*H8</f>
        <v>109</v>
      </c>
      <c r="G8" s="12">
        <f>F8-2.5</f>
        <v>106.5</v>
      </c>
      <c r="H8">
        <f aca="true" t="shared" si="3" ref="H8:H23">SUM(I8:P8)/Q8</f>
        <v>1</v>
      </c>
      <c r="I8">
        <v>1</v>
      </c>
      <c r="Q8">
        <f t="shared" si="1"/>
        <v>1</v>
      </c>
    </row>
    <row r="9" spans="2:17" ht="12.75">
      <c r="B9" t="s">
        <v>24</v>
      </c>
      <c r="C9" t="s">
        <v>25</v>
      </c>
      <c r="D9" s="12">
        <v>104</v>
      </c>
      <c r="E9" s="12">
        <f t="shared" si="2"/>
        <v>101.5</v>
      </c>
      <c r="F9" s="12">
        <f aca="true" t="shared" si="4" ref="F9:F23">D9*H9</f>
        <v>104</v>
      </c>
      <c r="G9" s="12">
        <f aca="true" t="shared" si="5" ref="G9:G71">F9-2.5</f>
        <v>101.5</v>
      </c>
      <c r="H9">
        <f t="shared" si="3"/>
        <v>1</v>
      </c>
      <c r="I9">
        <v>1</v>
      </c>
      <c r="Q9">
        <f t="shared" si="1"/>
        <v>1</v>
      </c>
    </row>
    <row r="10" spans="2:17" ht="12.75">
      <c r="B10" t="s">
        <v>27</v>
      </c>
      <c r="C10" t="s">
        <v>186</v>
      </c>
      <c r="D10" s="12">
        <v>96</v>
      </c>
      <c r="E10" s="12">
        <f t="shared" si="2"/>
        <v>93.5</v>
      </c>
      <c r="F10" s="12">
        <f t="shared" si="4"/>
        <v>96</v>
      </c>
      <c r="G10" s="12">
        <f t="shared" si="5"/>
        <v>93.5</v>
      </c>
      <c r="H10">
        <f t="shared" si="3"/>
        <v>1</v>
      </c>
      <c r="I10">
        <v>1</v>
      </c>
      <c r="Q10">
        <f t="shared" si="1"/>
        <v>1</v>
      </c>
    </row>
    <row r="11" spans="1:17" ht="12.75">
      <c r="A11" t="s">
        <v>499</v>
      </c>
      <c r="B11" t="s">
        <v>31</v>
      </c>
      <c r="C11" t="s">
        <v>32</v>
      </c>
      <c r="D11" s="12">
        <v>108.6</v>
      </c>
      <c r="E11" s="12">
        <f t="shared" si="2"/>
        <v>106.1</v>
      </c>
      <c r="F11" s="12">
        <f t="shared" si="4"/>
        <v>108.6</v>
      </c>
      <c r="G11" s="12">
        <f t="shared" si="5"/>
        <v>106.1</v>
      </c>
      <c r="H11">
        <f t="shared" si="3"/>
        <v>1</v>
      </c>
      <c r="I11">
        <v>1</v>
      </c>
      <c r="Q11">
        <f t="shared" si="1"/>
        <v>1</v>
      </c>
    </row>
    <row r="12" spans="2:17" ht="12.75">
      <c r="B12" t="s">
        <v>34</v>
      </c>
      <c r="C12" t="s">
        <v>35</v>
      </c>
      <c r="D12" s="12">
        <v>89</v>
      </c>
      <c r="E12" s="12">
        <f t="shared" si="2"/>
        <v>86.5</v>
      </c>
      <c r="F12" s="12">
        <f t="shared" si="4"/>
        <v>89</v>
      </c>
      <c r="G12" s="12">
        <f t="shared" si="5"/>
        <v>86.5</v>
      </c>
      <c r="H12">
        <f t="shared" si="3"/>
        <v>1</v>
      </c>
      <c r="I12">
        <v>1</v>
      </c>
      <c r="Q12">
        <f t="shared" si="1"/>
        <v>1</v>
      </c>
    </row>
    <row r="13" spans="2:17" ht="12.75">
      <c r="B13" t="s">
        <v>39</v>
      </c>
      <c r="C13" t="s">
        <v>40</v>
      </c>
      <c r="D13" s="12">
        <v>111</v>
      </c>
      <c r="E13" s="12">
        <f t="shared" si="2"/>
        <v>108.5</v>
      </c>
      <c r="F13" s="12">
        <f t="shared" si="4"/>
        <v>111</v>
      </c>
      <c r="G13" s="12">
        <f t="shared" si="5"/>
        <v>108.5</v>
      </c>
      <c r="H13">
        <f t="shared" si="3"/>
        <v>1</v>
      </c>
      <c r="I13">
        <v>1</v>
      </c>
      <c r="Q13">
        <f t="shared" si="1"/>
        <v>1</v>
      </c>
    </row>
    <row r="14" spans="4:7" ht="12.75">
      <c r="D14" s="12"/>
      <c r="E14" s="12"/>
      <c r="F14" s="12"/>
      <c r="G14" s="12"/>
    </row>
    <row r="15" spans="2:17" ht="12.75">
      <c r="B15" t="s">
        <v>43</v>
      </c>
      <c r="C15" t="s">
        <v>44</v>
      </c>
      <c r="D15" s="12">
        <v>97</v>
      </c>
      <c r="E15" s="12">
        <f t="shared" si="2"/>
        <v>94.5</v>
      </c>
      <c r="F15" s="12">
        <f t="shared" si="4"/>
        <v>97</v>
      </c>
      <c r="G15" s="12">
        <f t="shared" si="5"/>
        <v>94.5</v>
      </c>
      <c r="H15">
        <f t="shared" si="3"/>
        <v>1</v>
      </c>
      <c r="I15">
        <v>1</v>
      </c>
      <c r="Q15">
        <f t="shared" si="1"/>
        <v>1</v>
      </c>
    </row>
    <row r="16" spans="4:7" ht="12.75">
      <c r="D16" s="12"/>
      <c r="E16" s="12"/>
      <c r="F16" s="12"/>
      <c r="G16" s="12"/>
    </row>
    <row r="17" spans="4:7" ht="12.75">
      <c r="D17" s="12"/>
      <c r="E17" s="12"/>
      <c r="F17" s="12"/>
      <c r="G17" s="12"/>
    </row>
    <row r="18" spans="4:7" ht="12.75">
      <c r="D18" s="12"/>
      <c r="E18" s="12"/>
      <c r="F18" s="12"/>
      <c r="G18" s="12"/>
    </row>
    <row r="19" spans="2:17" ht="12.75">
      <c r="B19" t="s">
        <v>66</v>
      </c>
      <c r="C19" t="s">
        <v>67</v>
      </c>
      <c r="D19" s="12">
        <v>94</v>
      </c>
      <c r="E19" s="12">
        <f t="shared" si="2"/>
        <v>91.5</v>
      </c>
      <c r="F19" s="12">
        <f t="shared" si="4"/>
        <v>94</v>
      </c>
      <c r="G19" s="12">
        <f t="shared" si="5"/>
        <v>91.5</v>
      </c>
      <c r="H19">
        <f t="shared" si="3"/>
        <v>1</v>
      </c>
      <c r="I19">
        <v>1</v>
      </c>
      <c r="Q19">
        <f t="shared" si="1"/>
        <v>1</v>
      </c>
    </row>
    <row r="20" spans="2:17" ht="12.75">
      <c r="B20" t="s">
        <v>69</v>
      </c>
      <c r="C20" t="s">
        <v>70</v>
      </c>
      <c r="D20" s="12">
        <v>107.6</v>
      </c>
      <c r="E20" s="12">
        <f t="shared" si="2"/>
        <v>105.1</v>
      </c>
      <c r="F20" s="12">
        <f t="shared" si="4"/>
        <v>107.6</v>
      </c>
      <c r="G20" s="12">
        <f t="shared" si="5"/>
        <v>105.1</v>
      </c>
      <c r="H20">
        <f t="shared" si="3"/>
        <v>1</v>
      </c>
      <c r="I20">
        <v>1</v>
      </c>
      <c r="Q20">
        <f t="shared" si="1"/>
        <v>1</v>
      </c>
    </row>
    <row r="21" spans="2:17" ht="12.75">
      <c r="B21" t="s">
        <v>79</v>
      </c>
      <c r="C21" t="s">
        <v>80</v>
      </c>
      <c r="D21" s="12">
        <v>98</v>
      </c>
      <c r="E21" s="12">
        <f t="shared" si="2"/>
        <v>95.5</v>
      </c>
      <c r="F21" s="12">
        <f t="shared" si="4"/>
        <v>98</v>
      </c>
      <c r="G21" s="12">
        <f t="shared" si="5"/>
        <v>95.5</v>
      </c>
      <c r="H21">
        <f t="shared" si="3"/>
        <v>1</v>
      </c>
      <c r="I21">
        <v>1</v>
      </c>
      <c r="Q21">
        <f t="shared" si="1"/>
        <v>1</v>
      </c>
    </row>
    <row r="22" spans="2:17" ht="12.75">
      <c r="B22" t="s">
        <v>82</v>
      </c>
      <c r="C22" t="s">
        <v>83</v>
      </c>
      <c r="D22" s="12">
        <v>98</v>
      </c>
      <c r="E22" s="12">
        <f t="shared" si="2"/>
        <v>95.5</v>
      </c>
      <c r="F22" s="12">
        <f t="shared" si="4"/>
        <v>98</v>
      </c>
      <c r="G22" s="12">
        <f t="shared" si="5"/>
        <v>95.5</v>
      </c>
      <c r="H22">
        <f t="shared" si="3"/>
        <v>1</v>
      </c>
      <c r="I22">
        <v>1</v>
      </c>
      <c r="Q22">
        <f aca="true" t="shared" si="6" ref="Q22:Q37">COUNTA(I22:P22)</f>
        <v>1</v>
      </c>
    </row>
    <row r="23" spans="2:17" ht="12.75">
      <c r="B23" t="s">
        <v>86</v>
      </c>
      <c r="C23" t="s">
        <v>87</v>
      </c>
      <c r="D23" s="12">
        <v>97</v>
      </c>
      <c r="E23" s="12">
        <f t="shared" si="2"/>
        <v>94.5</v>
      </c>
      <c r="F23" s="12">
        <f t="shared" si="4"/>
        <v>97</v>
      </c>
      <c r="G23" s="12">
        <f t="shared" si="5"/>
        <v>94.5</v>
      </c>
      <c r="H23">
        <f t="shared" si="3"/>
        <v>1</v>
      </c>
      <c r="I23">
        <v>1</v>
      </c>
      <c r="Q23">
        <f t="shared" si="6"/>
        <v>1</v>
      </c>
    </row>
    <row r="24" spans="4:7" ht="12.75">
      <c r="D24" s="12"/>
      <c r="E24" s="12"/>
      <c r="F24" s="12"/>
      <c r="G24" s="12"/>
    </row>
    <row r="25" spans="4:7" ht="12.75">
      <c r="D25" s="12"/>
      <c r="E25" s="12"/>
      <c r="F25" s="12"/>
      <c r="G25" s="12"/>
    </row>
    <row r="26" spans="4:7" ht="12.75">
      <c r="D26" s="12"/>
      <c r="E26" s="12"/>
      <c r="F26" s="12"/>
      <c r="G26" s="12"/>
    </row>
    <row r="27" spans="4:7" ht="12.75">
      <c r="D27" s="12"/>
      <c r="E27" s="12"/>
      <c r="F27" s="12"/>
      <c r="G27" s="12"/>
    </row>
    <row r="28" spans="2:19" ht="12.75">
      <c r="B28" t="s">
        <v>105</v>
      </c>
      <c r="C28" t="s">
        <v>188</v>
      </c>
      <c r="D28" s="12">
        <v>106</v>
      </c>
      <c r="E28" s="12">
        <f aca="true" t="shared" si="7" ref="E28:E39">D28-2.5</f>
        <v>103.5</v>
      </c>
      <c r="F28" s="12">
        <f aca="true" t="shared" si="8" ref="F28:F39">D28*H28</f>
        <v>106</v>
      </c>
      <c r="G28" s="12">
        <f t="shared" si="5"/>
        <v>103.5</v>
      </c>
      <c r="H28">
        <f aca="true" t="shared" si="9" ref="H28:H39">SUM(I28:P28)/Q28</f>
        <v>1</v>
      </c>
      <c r="M28">
        <v>1</v>
      </c>
      <c r="N28">
        <v>1</v>
      </c>
      <c r="Q28">
        <f t="shared" si="6"/>
        <v>2</v>
      </c>
      <c r="S28">
        <v>-1</v>
      </c>
    </row>
    <row r="29" spans="2:17" ht="12.75">
      <c r="B29" t="s">
        <v>107</v>
      </c>
      <c r="C29" t="s">
        <v>108</v>
      </c>
      <c r="D29" s="12">
        <v>111</v>
      </c>
      <c r="E29" s="12">
        <f t="shared" si="7"/>
        <v>108.5</v>
      </c>
      <c r="F29" s="12">
        <f t="shared" si="8"/>
        <v>111</v>
      </c>
      <c r="G29" s="12">
        <f t="shared" si="5"/>
        <v>108.5</v>
      </c>
      <c r="H29">
        <f t="shared" si="9"/>
        <v>1</v>
      </c>
      <c r="I29">
        <v>1</v>
      </c>
      <c r="Q29">
        <f t="shared" si="6"/>
        <v>1</v>
      </c>
    </row>
    <row r="30" spans="1:17" ht="12.75">
      <c r="A30" t="s">
        <v>544</v>
      </c>
      <c r="B30" t="s">
        <v>109</v>
      </c>
      <c r="C30" t="s">
        <v>477</v>
      </c>
      <c r="D30" s="12">
        <v>100.5</v>
      </c>
      <c r="E30" s="12">
        <f t="shared" si="7"/>
        <v>98</v>
      </c>
      <c r="F30" s="12">
        <f t="shared" si="8"/>
        <v>100.5</v>
      </c>
      <c r="G30" s="12">
        <f t="shared" si="5"/>
        <v>98</v>
      </c>
      <c r="H30">
        <f t="shared" si="9"/>
        <v>1</v>
      </c>
      <c r="I30">
        <v>1</v>
      </c>
      <c r="Q30">
        <f t="shared" si="6"/>
        <v>1</v>
      </c>
    </row>
    <row r="31" spans="4:7" ht="12.75">
      <c r="D31" s="12"/>
      <c r="E31" s="12"/>
      <c r="F31" s="12"/>
      <c r="G31" s="12"/>
    </row>
    <row r="32" spans="4:7" ht="12.75">
      <c r="D32" s="12"/>
      <c r="E32" s="12"/>
      <c r="F32" s="12"/>
      <c r="G32" s="12"/>
    </row>
    <row r="33" spans="2:17" ht="12.75">
      <c r="B33" t="s">
        <v>116</v>
      </c>
      <c r="C33" t="s">
        <v>117</v>
      </c>
      <c r="D33" s="12">
        <v>103</v>
      </c>
      <c r="E33" s="12">
        <f t="shared" si="7"/>
        <v>100.5</v>
      </c>
      <c r="F33" s="12">
        <f t="shared" si="8"/>
        <v>103</v>
      </c>
      <c r="G33" s="12">
        <f t="shared" si="5"/>
        <v>100.5</v>
      </c>
      <c r="H33">
        <f t="shared" si="9"/>
        <v>1</v>
      </c>
      <c r="I33">
        <v>1</v>
      </c>
      <c r="Q33">
        <f t="shared" si="6"/>
        <v>1</v>
      </c>
    </row>
    <row r="34" spans="4:7" ht="12.75">
      <c r="D34" s="12"/>
      <c r="E34" s="12"/>
      <c r="F34" s="12"/>
      <c r="G34" s="12"/>
    </row>
    <row r="35" spans="4:7" ht="12.75">
      <c r="D35" s="12"/>
      <c r="E35" s="12"/>
      <c r="F35" s="12"/>
      <c r="G35" s="12"/>
    </row>
    <row r="36" spans="2:17" ht="12.75">
      <c r="B36" t="s">
        <v>189</v>
      </c>
      <c r="C36" t="s">
        <v>124</v>
      </c>
      <c r="D36" s="12">
        <v>128</v>
      </c>
      <c r="E36" s="12">
        <f t="shared" si="7"/>
        <v>125.5</v>
      </c>
      <c r="F36" s="12">
        <f t="shared" si="8"/>
        <v>128</v>
      </c>
      <c r="G36" s="12">
        <f t="shared" si="5"/>
        <v>125.5</v>
      </c>
      <c r="H36">
        <f t="shared" si="9"/>
        <v>1</v>
      </c>
      <c r="I36">
        <v>1</v>
      </c>
      <c r="Q36">
        <f t="shared" si="6"/>
        <v>1</v>
      </c>
    </row>
    <row r="37" spans="2:17" ht="12.75">
      <c r="B37" t="s">
        <v>128</v>
      </c>
      <c r="C37" t="s">
        <v>129</v>
      </c>
      <c r="D37" s="12">
        <v>109</v>
      </c>
      <c r="E37" s="12">
        <f t="shared" si="7"/>
        <v>106.5</v>
      </c>
      <c r="F37" s="12">
        <f t="shared" si="8"/>
        <v>109</v>
      </c>
      <c r="G37" s="12">
        <f t="shared" si="5"/>
        <v>106.5</v>
      </c>
      <c r="H37">
        <f t="shared" si="9"/>
        <v>1</v>
      </c>
      <c r="I37">
        <v>1</v>
      </c>
      <c r="Q37">
        <f t="shared" si="6"/>
        <v>1</v>
      </c>
    </row>
    <row r="38" spans="4:7" ht="12.75">
      <c r="D38" s="12"/>
      <c r="E38" s="12"/>
      <c r="F38" s="12"/>
      <c r="G38" s="12"/>
    </row>
    <row r="39" spans="2:17" ht="12.75">
      <c r="B39" t="s">
        <v>133</v>
      </c>
      <c r="C39" t="s">
        <v>190</v>
      </c>
      <c r="D39" s="12">
        <v>89</v>
      </c>
      <c r="E39" s="12">
        <f t="shared" si="7"/>
        <v>86.5</v>
      </c>
      <c r="F39" s="12">
        <f t="shared" si="8"/>
        <v>89</v>
      </c>
      <c r="G39" s="12">
        <f t="shared" si="5"/>
        <v>86.5</v>
      </c>
      <c r="H39">
        <f t="shared" si="9"/>
        <v>1</v>
      </c>
      <c r="I39">
        <v>1</v>
      </c>
      <c r="Q39">
        <f aca="true" t="shared" si="10" ref="Q39:Q53">COUNTA(I39:P39)</f>
        <v>1</v>
      </c>
    </row>
    <row r="40" spans="4:7" ht="12.75">
      <c r="D40" s="12"/>
      <c r="E40" s="12"/>
      <c r="F40" s="12"/>
      <c r="G40" s="12"/>
    </row>
    <row r="41" spans="2:17" ht="12.75">
      <c r="B41" t="s">
        <v>138</v>
      </c>
      <c r="C41" t="s">
        <v>139</v>
      </c>
      <c r="D41" s="12">
        <v>98</v>
      </c>
      <c r="E41" s="12">
        <f aca="true" t="shared" si="11" ref="E41:E183">D41-2.5</f>
        <v>95.5</v>
      </c>
      <c r="F41" s="12">
        <f aca="true" t="shared" si="12" ref="F41:F89">D41*H41</f>
        <v>98</v>
      </c>
      <c r="G41" s="12">
        <f t="shared" si="5"/>
        <v>95.5</v>
      </c>
      <c r="H41">
        <f aca="true" t="shared" si="13" ref="H41:H55">SUM(I41:P41)/Q41</f>
        <v>1</v>
      </c>
      <c r="I41">
        <v>1</v>
      </c>
      <c r="Q41">
        <f t="shared" si="10"/>
        <v>1</v>
      </c>
    </row>
    <row r="42" spans="4:7" ht="12.75">
      <c r="D42" s="12"/>
      <c r="E42" s="12"/>
      <c r="F42" s="12"/>
      <c r="G42" s="12"/>
    </row>
    <row r="43" spans="2:17" ht="12.75">
      <c r="B43" t="s">
        <v>142</v>
      </c>
      <c r="C43" t="s">
        <v>143</v>
      </c>
      <c r="D43" s="12">
        <v>96</v>
      </c>
      <c r="E43" s="12">
        <f t="shared" si="11"/>
        <v>93.5</v>
      </c>
      <c r="F43" s="12">
        <f t="shared" si="12"/>
        <v>96</v>
      </c>
      <c r="G43" s="12">
        <f t="shared" si="5"/>
        <v>93.5</v>
      </c>
      <c r="H43">
        <f t="shared" si="13"/>
        <v>1</v>
      </c>
      <c r="I43">
        <v>1</v>
      </c>
      <c r="Q43">
        <f t="shared" si="10"/>
        <v>1</v>
      </c>
    </row>
    <row r="44" spans="4:7" ht="12.75">
      <c r="D44" s="12"/>
      <c r="E44" s="12"/>
      <c r="F44" s="12"/>
      <c r="G44" s="12"/>
    </row>
    <row r="45" spans="2:17" ht="12.75">
      <c r="B45" t="s">
        <v>148</v>
      </c>
      <c r="C45" t="s">
        <v>149</v>
      </c>
      <c r="D45" s="12">
        <v>90</v>
      </c>
      <c r="E45" s="12">
        <f t="shared" si="11"/>
        <v>87.5</v>
      </c>
      <c r="F45" s="12">
        <f t="shared" si="12"/>
        <v>90</v>
      </c>
      <c r="G45" s="12">
        <f t="shared" si="5"/>
        <v>87.5</v>
      </c>
      <c r="H45">
        <f t="shared" si="13"/>
        <v>1</v>
      </c>
      <c r="I45">
        <v>1</v>
      </c>
      <c r="Q45">
        <f t="shared" si="10"/>
        <v>1</v>
      </c>
    </row>
    <row r="46" spans="2:17" ht="12.75">
      <c r="B46" t="s">
        <v>150</v>
      </c>
      <c r="C46" t="s">
        <v>151</v>
      </c>
      <c r="D46" s="12">
        <v>89</v>
      </c>
      <c r="E46" s="12">
        <f t="shared" si="11"/>
        <v>86.5</v>
      </c>
      <c r="F46" s="12">
        <f t="shared" si="12"/>
        <v>89</v>
      </c>
      <c r="G46" s="12">
        <f t="shared" si="5"/>
        <v>86.5</v>
      </c>
      <c r="H46">
        <f t="shared" si="13"/>
        <v>1</v>
      </c>
      <c r="I46">
        <v>1</v>
      </c>
      <c r="Q46">
        <f t="shared" si="10"/>
        <v>1</v>
      </c>
    </row>
    <row r="47" spans="1:17" ht="12.75">
      <c r="A47" t="s">
        <v>495</v>
      </c>
      <c r="B47" t="s">
        <v>152</v>
      </c>
      <c r="C47" t="s">
        <v>139</v>
      </c>
      <c r="D47" s="12">
        <v>98</v>
      </c>
      <c r="E47" s="12">
        <f t="shared" si="11"/>
        <v>95.5</v>
      </c>
      <c r="F47" s="12">
        <f t="shared" si="12"/>
        <v>96.285</v>
      </c>
      <c r="G47" s="12">
        <f t="shared" si="5"/>
        <v>93.785</v>
      </c>
      <c r="H47">
        <f t="shared" si="13"/>
        <v>0.9824999999999999</v>
      </c>
      <c r="I47">
        <v>1</v>
      </c>
      <c r="N47">
        <v>0.96</v>
      </c>
      <c r="O47">
        <v>1</v>
      </c>
      <c r="P47">
        <v>0.97</v>
      </c>
      <c r="Q47">
        <f t="shared" si="10"/>
        <v>4</v>
      </c>
    </row>
    <row r="48" spans="4:7" ht="12.75">
      <c r="D48" s="12"/>
      <c r="E48" s="12"/>
      <c r="F48" s="12"/>
      <c r="G48" s="12"/>
    </row>
    <row r="49" spans="4:7" ht="12.75">
      <c r="D49" s="12"/>
      <c r="E49" s="12"/>
      <c r="F49" s="12"/>
      <c r="G49" s="12"/>
    </row>
    <row r="50" spans="2:17" ht="12.75">
      <c r="B50" t="s">
        <v>191</v>
      </c>
      <c r="C50" t="s">
        <v>40</v>
      </c>
      <c r="D50" s="12">
        <v>111</v>
      </c>
      <c r="E50" s="12">
        <f t="shared" si="11"/>
        <v>108.5</v>
      </c>
      <c r="F50" s="12">
        <f t="shared" si="12"/>
        <v>111</v>
      </c>
      <c r="G50" s="12">
        <f t="shared" si="5"/>
        <v>108.5</v>
      </c>
      <c r="H50">
        <f t="shared" si="13"/>
        <v>1</v>
      </c>
      <c r="I50">
        <v>1</v>
      </c>
      <c r="Q50">
        <f t="shared" si="10"/>
        <v>1</v>
      </c>
    </row>
    <row r="51" spans="4:7" ht="12.75">
      <c r="D51" s="12"/>
      <c r="E51" s="12"/>
      <c r="F51" s="12"/>
      <c r="G51" s="12"/>
    </row>
    <row r="52" spans="2:17" ht="12.75">
      <c r="B52" t="s">
        <v>162</v>
      </c>
      <c r="C52" t="s">
        <v>163</v>
      </c>
      <c r="D52" s="12">
        <v>97</v>
      </c>
      <c r="E52" s="12">
        <f t="shared" si="11"/>
        <v>94.5</v>
      </c>
      <c r="F52" s="12">
        <f t="shared" si="12"/>
        <v>97</v>
      </c>
      <c r="G52" s="12">
        <f t="shared" si="5"/>
        <v>94.5</v>
      </c>
      <c r="H52">
        <f t="shared" si="13"/>
        <v>1</v>
      </c>
      <c r="I52">
        <v>1</v>
      </c>
      <c r="Q52">
        <f t="shared" si="10"/>
        <v>1</v>
      </c>
    </row>
    <row r="53" spans="2:17" ht="12.75">
      <c r="B53" t="s">
        <v>168</v>
      </c>
      <c r="C53" t="s">
        <v>192</v>
      </c>
      <c r="D53" s="12">
        <v>103</v>
      </c>
      <c r="E53" s="12">
        <f t="shared" si="11"/>
        <v>100.5</v>
      </c>
      <c r="F53" s="12">
        <f t="shared" si="12"/>
        <v>103</v>
      </c>
      <c r="G53" s="12">
        <f t="shared" si="5"/>
        <v>100.5</v>
      </c>
      <c r="H53">
        <f t="shared" si="13"/>
        <v>1</v>
      </c>
      <c r="I53">
        <v>1</v>
      </c>
      <c r="Q53">
        <f t="shared" si="10"/>
        <v>1</v>
      </c>
    </row>
    <row r="54" spans="2:17" ht="12.75">
      <c r="B54" t="s">
        <v>165</v>
      </c>
      <c r="C54" t="s">
        <v>463</v>
      </c>
      <c r="D54" s="12">
        <v>102</v>
      </c>
      <c r="E54" s="12">
        <f t="shared" si="11"/>
        <v>99.5</v>
      </c>
      <c r="F54" s="12">
        <f t="shared" si="12"/>
        <v>102</v>
      </c>
      <c r="G54" s="12">
        <f t="shared" si="5"/>
        <v>99.5</v>
      </c>
      <c r="H54">
        <f t="shared" si="13"/>
        <v>1</v>
      </c>
      <c r="I54">
        <v>1</v>
      </c>
      <c r="Q54">
        <f aca="true" t="shared" si="14" ref="Q54:Q74">COUNTA(I54:P54)</f>
        <v>1</v>
      </c>
    </row>
    <row r="55" spans="2:17" ht="12.75">
      <c r="B55" t="s">
        <v>154</v>
      </c>
      <c r="C55" t="s">
        <v>155</v>
      </c>
      <c r="D55" s="12">
        <v>106</v>
      </c>
      <c r="E55" s="12">
        <f t="shared" si="11"/>
        <v>103.5</v>
      </c>
      <c r="F55" s="12">
        <f t="shared" si="12"/>
        <v>106</v>
      </c>
      <c r="G55" s="12">
        <f t="shared" si="5"/>
        <v>103.5</v>
      </c>
      <c r="H55">
        <f t="shared" si="13"/>
        <v>1</v>
      </c>
      <c r="I55">
        <v>1</v>
      </c>
      <c r="Q55">
        <f t="shared" si="14"/>
        <v>1</v>
      </c>
    </row>
    <row r="56" spans="4:7" ht="12.75">
      <c r="D56" s="12"/>
      <c r="E56" s="12"/>
      <c r="F56" s="12"/>
      <c r="G56" s="12"/>
    </row>
    <row r="57" spans="2:17" ht="12.75">
      <c r="B57" t="s">
        <v>193</v>
      </c>
      <c r="C57" t="s">
        <v>194</v>
      </c>
      <c r="D57" s="12">
        <v>109</v>
      </c>
      <c r="E57" s="12">
        <f t="shared" si="11"/>
        <v>106.5</v>
      </c>
      <c r="F57" s="12">
        <f t="shared" si="12"/>
        <v>109</v>
      </c>
      <c r="G57" s="12">
        <f t="shared" si="5"/>
        <v>106.5</v>
      </c>
      <c r="H57">
        <f aca="true" t="shared" si="15" ref="H57:H89">SUM(I57:P57)/Q57</f>
        <v>1</v>
      </c>
      <c r="I57">
        <v>1</v>
      </c>
      <c r="Q57">
        <f t="shared" si="14"/>
        <v>1</v>
      </c>
    </row>
    <row r="58" spans="5:7" ht="12.75">
      <c r="E58" s="12"/>
      <c r="F58" s="12"/>
      <c r="G58" s="12"/>
    </row>
    <row r="59" spans="2:17" ht="12.75">
      <c r="B59" t="s">
        <v>37</v>
      </c>
      <c r="C59" t="s">
        <v>38</v>
      </c>
      <c r="D59">
        <v>107</v>
      </c>
      <c r="E59" s="12">
        <f t="shared" si="11"/>
        <v>104.5</v>
      </c>
      <c r="F59" s="12">
        <f t="shared" si="12"/>
        <v>107</v>
      </c>
      <c r="G59" s="12">
        <f t="shared" si="5"/>
        <v>104.5</v>
      </c>
      <c r="H59">
        <f t="shared" si="15"/>
        <v>1</v>
      </c>
      <c r="I59">
        <v>1</v>
      </c>
      <c r="Q59">
        <f t="shared" si="14"/>
        <v>1</v>
      </c>
    </row>
    <row r="60" spans="5:7" ht="12.75">
      <c r="E60" s="12"/>
      <c r="F60" s="12"/>
      <c r="G60" s="12"/>
    </row>
    <row r="61" spans="5:7" ht="12.75">
      <c r="E61" s="12"/>
      <c r="F61" s="12"/>
      <c r="G61" s="12"/>
    </row>
    <row r="62" spans="2:17" ht="12.75">
      <c r="B62" t="s">
        <v>56</v>
      </c>
      <c r="C62">
        <v>470</v>
      </c>
      <c r="D62">
        <v>102</v>
      </c>
      <c r="E62" s="12">
        <f t="shared" si="11"/>
        <v>99.5</v>
      </c>
      <c r="F62" s="12">
        <f t="shared" si="12"/>
        <v>102</v>
      </c>
      <c r="G62" s="12">
        <f t="shared" si="5"/>
        <v>99.5</v>
      </c>
      <c r="H62">
        <f t="shared" si="15"/>
        <v>1</v>
      </c>
      <c r="I62">
        <v>1</v>
      </c>
      <c r="Q62">
        <f t="shared" si="14"/>
        <v>1</v>
      </c>
    </row>
    <row r="63" spans="2:17" ht="12.75">
      <c r="B63" t="s">
        <v>71</v>
      </c>
      <c r="C63" t="s">
        <v>72</v>
      </c>
      <c r="D63">
        <v>95</v>
      </c>
      <c r="E63" s="12">
        <f t="shared" si="11"/>
        <v>92.5</v>
      </c>
      <c r="F63" s="12">
        <f t="shared" si="12"/>
        <v>95</v>
      </c>
      <c r="G63" s="12">
        <f t="shared" si="5"/>
        <v>92.5</v>
      </c>
      <c r="H63">
        <f t="shared" si="15"/>
        <v>1</v>
      </c>
      <c r="I63">
        <v>1</v>
      </c>
      <c r="Q63">
        <f t="shared" si="14"/>
        <v>1</v>
      </c>
    </row>
    <row r="64" spans="1:17" ht="12.75">
      <c r="A64" t="s">
        <v>495</v>
      </c>
      <c r="B64" t="s">
        <v>76</v>
      </c>
      <c r="C64" t="s">
        <v>490</v>
      </c>
      <c r="D64">
        <v>103.6</v>
      </c>
      <c r="E64" s="12">
        <f t="shared" si="11"/>
        <v>101.1</v>
      </c>
      <c r="F64" s="12">
        <f t="shared" si="12"/>
        <v>102.21435000000001</v>
      </c>
      <c r="G64" s="12">
        <f t="shared" si="5"/>
        <v>99.71435000000001</v>
      </c>
      <c r="H64">
        <f t="shared" si="15"/>
        <v>0.9866250000000001</v>
      </c>
      <c r="I64">
        <v>1</v>
      </c>
      <c r="N64">
        <v>0.9765</v>
      </c>
      <c r="O64">
        <v>0.97</v>
      </c>
      <c r="P64">
        <v>1</v>
      </c>
      <c r="Q64">
        <f t="shared" si="14"/>
        <v>4</v>
      </c>
    </row>
    <row r="65" spans="2:17" ht="12.75">
      <c r="B65" t="s">
        <v>47</v>
      </c>
      <c r="C65" t="s">
        <v>327</v>
      </c>
      <c r="D65">
        <v>87</v>
      </c>
      <c r="E65" s="12">
        <f t="shared" si="11"/>
        <v>84.5</v>
      </c>
      <c r="F65" s="12">
        <f t="shared" si="12"/>
        <v>87</v>
      </c>
      <c r="G65" s="12">
        <f t="shared" si="5"/>
        <v>84.5</v>
      </c>
      <c r="H65">
        <f t="shared" si="15"/>
        <v>1</v>
      </c>
      <c r="I65">
        <v>1</v>
      </c>
      <c r="Q65">
        <f t="shared" si="14"/>
        <v>1</v>
      </c>
    </row>
    <row r="66" spans="2:17" ht="12.75">
      <c r="B66" t="s">
        <v>60</v>
      </c>
      <c r="C66" t="s">
        <v>61</v>
      </c>
      <c r="D66">
        <v>102</v>
      </c>
      <c r="E66" s="12">
        <f t="shared" si="11"/>
        <v>99.5</v>
      </c>
      <c r="F66" s="12">
        <f t="shared" si="12"/>
        <v>102</v>
      </c>
      <c r="G66" s="12">
        <f t="shared" si="5"/>
        <v>99.5</v>
      </c>
      <c r="H66">
        <f t="shared" si="15"/>
        <v>1</v>
      </c>
      <c r="I66">
        <v>1</v>
      </c>
      <c r="Q66">
        <f t="shared" si="14"/>
        <v>1</v>
      </c>
    </row>
    <row r="67" spans="2:17" ht="12.75">
      <c r="B67" t="s">
        <v>97</v>
      </c>
      <c r="C67" t="s">
        <v>98</v>
      </c>
      <c r="D67">
        <v>85</v>
      </c>
      <c r="E67" s="12">
        <f t="shared" si="11"/>
        <v>82.5</v>
      </c>
      <c r="F67" s="12">
        <f t="shared" si="12"/>
        <v>85</v>
      </c>
      <c r="G67" s="12">
        <f t="shared" si="5"/>
        <v>82.5</v>
      </c>
      <c r="H67">
        <f>SUM(I67:P67)/Q67</f>
        <v>1</v>
      </c>
      <c r="I67">
        <v>1</v>
      </c>
      <c r="Q67">
        <f t="shared" si="14"/>
        <v>1</v>
      </c>
    </row>
    <row r="68" spans="2:17" ht="12.75">
      <c r="B68" t="s">
        <v>84</v>
      </c>
      <c r="C68" t="s">
        <v>85</v>
      </c>
      <c r="D68">
        <v>95</v>
      </c>
      <c r="E68" s="12">
        <f t="shared" si="11"/>
        <v>92.5</v>
      </c>
      <c r="F68" s="12">
        <f t="shared" si="12"/>
        <v>95</v>
      </c>
      <c r="G68" s="12">
        <f t="shared" si="5"/>
        <v>92.5</v>
      </c>
      <c r="H68">
        <f t="shared" si="15"/>
        <v>1</v>
      </c>
      <c r="I68">
        <v>1</v>
      </c>
      <c r="Q68">
        <f t="shared" si="14"/>
        <v>1</v>
      </c>
    </row>
    <row r="69" spans="2:17" ht="12.75">
      <c r="B69" t="s">
        <v>94</v>
      </c>
      <c r="C69" t="s">
        <v>95</v>
      </c>
      <c r="D69">
        <v>109</v>
      </c>
      <c r="E69" s="12">
        <f t="shared" si="11"/>
        <v>106.5</v>
      </c>
      <c r="F69" s="12">
        <f t="shared" si="12"/>
        <v>109</v>
      </c>
      <c r="G69" s="12">
        <f t="shared" si="5"/>
        <v>106.5</v>
      </c>
      <c r="H69">
        <f t="shared" si="15"/>
        <v>1</v>
      </c>
      <c r="I69">
        <v>1</v>
      </c>
      <c r="Q69">
        <f t="shared" si="14"/>
        <v>1</v>
      </c>
    </row>
    <row r="70" spans="2:17" ht="12.75">
      <c r="B70" t="s">
        <v>359</v>
      </c>
      <c r="C70" t="s">
        <v>59</v>
      </c>
      <c r="D70">
        <v>103</v>
      </c>
      <c r="E70" s="12">
        <f t="shared" si="11"/>
        <v>100.5</v>
      </c>
      <c r="F70" s="12">
        <f t="shared" si="12"/>
        <v>103</v>
      </c>
      <c r="G70" s="12">
        <f t="shared" si="5"/>
        <v>100.5</v>
      </c>
      <c r="H70">
        <f t="shared" si="15"/>
        <v>1</v>
      </c>
      <c r="I70">
        <v>1</v>
      </c>
      <c r="Q70">
        <f t="shared" si="14"/>
        <v>1</v>
      </c>
    </row>
    <row r="71" spans="2:17" ht="12.75">
      <c r="B71" t="s">
        <v>146</v>
      </c>
      <c r="C71" t="s">
        <v>195</v>
      </c>
      <c r="D71">
        <v>101</v>
      </c>
      <c r="E71" s="12">
        <f t="shared" si="11"/>
        <v>98.5</v>
      </c>
      <c r="F71" s="12">
        <f t="shared" si="12"/>
        <v>101</v>
      </c>
      <c r="G71" s="12">
        <f t="shared" si="5"/>
        <v>98.5</v>
      </c>
      <c r="H71">
        <f t="shared" si="15"/>
        <v>1</v>
      </c>
      <c r="I71">
        <v>1</v>
      </c>
      <c r="Q71">
        <f t="shared" si="14"/>
        <v>1</v>
      </c>
    </row>
    <row r="72" spans="5:7" ht="12.75">
      <c r="E72" s="12"/>
      <c r="F72" s="12"/>
      <c r="G72" s="12"/>
    </row>
    <row r="73" spans="2:17" ht="12.75">
      <c r="B73" t="s">
        <v>196</v>
      </c>
      <c r="C73" t="s">
        <v>64</v>
      </c>
      <c r="D73">
        <v>100</v>
      </c>
      <c r="E73" s="12">
        <f t="shared" si="11"/>
        <v>97.5</v>
      </c>
      <c r="F73" s="12">
        <f t="shared" si="12"/>
        <v>100</v>
      </c>
      <c r="G73" s="12">
        <f aca="true" t="shared" si="16" ref="G73:G181">F73-2.5</f>
        <v>97.5</v>
      </c>
      <c r="H73">
        <f t="shared" si="15"/>
        <v>1</v>
      </c>
      <c r="I73">
        <v>1</v>
      </c>
      <c r="Q73">
        <f t="shared" si="14"/>
        <v>1</v>
      </c>
    </row>
    <row r="74" spans="2:17" ht="12.75">
      <c r="B74" t="s">
        <v>49</v>
      </c>
      <c r="C74" t="s">
        <v>50</v>
      </c>
      <c r="D74">
        <v>107</v>
      </c>
      <c r="E74" s="12">
        <f t="shared" si="11"/>
        <v>104.5</v>
      </c>
      <c r="F74" s="12">
        <f t="shared" si="12"/>
        <v>107</v>
      </c>
      <c r="G74" s="12">
        <f t="shared" si="16"/>
        <v>104.5</v>
      </c>
      <c r="H74">
        <f t="shared" si="15"/>
        <v>1</v>
      </c>
      <c r="I74">
        <v>1</v>
      </c>
      <c r="Q74">
        <f t="shared" si="14"/>
        <v>1</v>
      </c>
    </row>
    <row r="75" spans="1:24" ht="12.75">
      <c r="A75" s="25" t="s">
        <v>597</v>
      </c>
      <c r="B75" t="s">
        <v>57</v>
      </c>
      <c r="C75" t="s">
        <v>58</v>
      </c>
      <c r="D75">
        <v>80</v>
      </c>
      <c r="E75" s="12">
        <f t="shared" si="11"/>
        <v>77.5</v>
      </c>
      <c r="F75" s="12">
        <f t="shared" si="12"/>
        <v>80</v>
      </c>
      <c r="G75" s="12">
        <f t="shared" si="16"/>
        <v>77.5</v>
      </c>
      <c r="H75">
        <f t="shared" si="15"/>
        <v>1</v>
      </c>
      <c r="I75">
        <v>1</v>
      </c>
      <c r="Q75">
        <f aca="true" t="shared" si="17" ref="Q75:Q183">COUNTA(I75:P75)</f>
        <v>1</v>
      </c>
      <c r="S75" s="25"/>
      <c r="U75">
        <v>-1</v>
      </c>
      <c r="X75">
        <v>4</v>
      </c>
    </row>
    <row r="76" spans="5:7" ht="12.75">
      <c r="E76" s="12"/>
      <c r="F76" s="12"/>
      <c r="G76" s="12"/>
    </row>
    <row r="77" spans="2:17" ht="12.75">
      <c r="B77" t="s">
        <v>52</v>
      </c>
      <c r="C77" t="s">
        <v>197</v>
      </c>
      <c r="D77">
        <v>87</v>
      </c>
      <c r="E77" s="12">
        <f t="shared" si="11"/>
        <v>84.5</v>
      </c>
      <c r="F77" s="12">
        <f t="shared" si="12"/>
        <v>87</v>
      </c>
      <c r="G77" s="12">
        <f t="shared" si="16"/>
        <v>84.5</v>
      </c>
      <c r="H77">
        <f t="shared" si="15"/>
        <v>1</v>
      </c>
      <c r="I77">
        <v>1</v>
      </c>
      <c r="Q77">
        <f t="shared" si="17"/>
        <v>1</v>
      </c>
    </row>
    <row r="78" spans="5:7" ht="12.75">
      <c r="E78" s="12"/>
      <c r="F78" s="12"/>
      <c r="G78" s="12"/>
    </row>
    <row r="79" spans="1:20" ht="12.75">
      <c r="A79" t="s">
        <v>605</v>
      </c>
      <c r="B79" t="s">
        <v>126</v>
      </c>
      <c r="C79" t="s">
        <v>407</v>
      </c>
      <c r="D79">
        <v>86</v>
      </c>
      <c r="E79" s="12">
        <f t="shared" si="11"/>
        <v>83.5</v>
      </c>
      <c r="F79" s="12">
        <f t="shared" si="12"/>
        <v>86</v>
      </c>
      <c r="G79" s="12">
        <f t="shared" si="16"/>
        <v>83.5</v>
      </c>
      <c r="H79">
        <f t="shared" si="15"/>
        <v>1</v>
      </c>
      <c r="I79">
        <v>1</v>
      </c>
      <c r="Q79">
        <f t="shared" si="17"/>
        <v>1</v>
      </c>
      <c r="T79">
        <v>2</v>
      </c>
    </row>
    <row r="80" spans="5:7" ht="12.75">
      <c r="E80" s="12"/>
      <c r="F80" s="12"/>
      <c r="G80" s="12"/>
    </row>
    <row r="81" spans="2:17" ht="12.75">
      <c r="B81" t="s">
        <v>57</v>
      </c>
      <c r="C81" t="s">
        <v>59</v>
      </c>
      <c r="D81">
        <v>103</v>
      </c>
      <c r="E81" s="12">
        <f t="shared" si="11"/>
        <v>100.5</v>
      </c>
      <c r="F81" s="12">
        <f t="shared" si="12"/>
        <v>103</v>
      </c>
      <c r="G81" s="12">
        <f t="shared" si="16"/>
        <v>100.5</v>
      </c>
      <c r="H81">
        <f t="shared" si="15"/>
        <v>1</v>
      </c>
      <c r="I81">
        <v>1</v>
      </c>
      <c r="Q81">
        <f t="shared" si="17"/>
        <v>1</v>
      </c>
    </row>
    <row r="82" spans="2:17" ht="12.75">
      <c r="B82" t="s">
        <v>86</v>
      </c>
      <c r="C82" t="s">
        <v>90</v>
      </c>
      <c r="D82">
        <v>116</v>
      </c>
      <c r="E82" s="12">
        <f t="shared" si="11"/>
        <v>113.5</v>
      </c>
      <c r="F82" s="12">
        <f t="shared" si="12"/>
        <v>116</v>
      </c>
      <c r="G82" s="12">
        <f t="shared" si="16"/>
        <v>113.5</v>
      </c>
      <c r="H82">
        <f t="shared" si="15"/>
        <v>1</v>
      </c>
      <c r="I82">
        <v>1</v>
      </c>
      <c r="Q82">
        <f t="shared" si="17"/>
        <v>1</v>
      </c>
    </row>
    <row r="83" spans="5:7" ht="12.75">
      <c r="E83" s="12"/>
      <c r="F83" s="12"/>
      <c r="G83" s="12"/>
    </row>
    <row r="84" spans="5:7" ht="12.75">
      <c r="E84" s="12"/>
      <c r="F84" s="12"/>
      <c r="G84" s="12"/>
    </row>
    <row r="85" spans="2:17" ht="12.75">
      <c r="B85" t="s">
        <v>366</v>
      </c>
      <c r="C85" t="s">
        <v>318</v>
      </c>
      <c r="D85">
        <v>92</v>
      </c>
      <c r="E85" s="12">
        <f t="shared" si="11"/>
        <v>89.5</v>
      </c>
      <c r="F85" s="12">
        <f t="shared" si="12"/>
        <v>92</v>
      </c>
      <c r="G85" s="12">
        <f t="shared" si="16"/>
        <v>89.5</v>
      </c>
      <c r="H85">
        <f t="shared" si="15"/>
        <v>1</v>
      </c>
      <c r="I85">
        <v>1</v>
      </c>
      <c r="Q85">
        <f t="shared" si="17"/>
        <v>1</v>
      </c>
    </row>
    <row r="86" spans="2:17" ht="12.75">
      <c r="B86" t="s">
        <v>158</v>
      </c>
      <c r="C86" t="s">
        <v>319</v>
      </c>
      <c r="D86">
        <v>93.5</v>
      </c>
      <c r="E86" s="12">
        <f t="shared" si="11"/>
        <v>91</v>
      </c>
      <c r="F86" s="12">
        <f t="shared" si="12"/>
        <v>93.5</v>
      </c>
      <c r="G86" s="12">
        <f t="shared" si="16"/>
        <v>91</v>
      </c>
      <c r="H86">
        <f t="shared" si="15"/>
        <v>1</v>
      </c>
      <c r="I86">
        <v>1</v>
      </c>
      <c r="Q86">
        <f t="shared" si="17"/>
        <v>1</v>
      </c>
    </row>
    <row r="87" spans="5:7" ht="12.75">
      <c r="E87" s="12"/>
      <c r="F87" s="12"/>
      <c r="G87" s="12"/>
    </row>
    <row r="88" spans="2:17" ht="12.75">
      <c r="B88" t="s">
        <v>321</v>
      </c>
      <c r="C88" t="s">
        <v>322</v>
      </c>
      <c r="D88">
        <v>132</v>
      </c>
      <c r="E88" s="12">
        <f t="shared" si="11"/>
        <v>129.5</v>
      </c>
      <c r="F88" s="12">
        <f t="shared" si="12"/>
        <v>132</v>
      </c>
      <c r="G88" s="12">
        <f t="shared" si="16"/>
        <v>129.5</v>
      </c>
      <c r="H88">
        <f t="shared" si="15"/>
        <v>1</v>
      </c>
      <c r="I88">
        <v>1</v>
      </c>
      <c r="Q88">
        <f t="shared" si="17"/>
        <v>1</v>
      </c>
    </row>
    <row r="89" spans="2:17" ht="12.75">
      <c r="B89" t="s">
        <v>323</v>
      </c>
      <c r="C89" t="s">
        <v>324</v>
      </c>
      <c r="D89">
        <v>100</v>
      </c>
      <c r="E89" s="12">
        <f t="shared" si="11"/>
        <v>97.5</v>
      </c>
      <c r="F89" s="12">
        <f t="shared" si="12"/>
        <v>100</v>
      </c>
      <c r="G89" s="12">
        <f t="shared" si="16"/>
        <v>97.5</v>
      </c>
      <c r="H89">
        <f t="shared" si="15"/>
        <v>1</v>
      </c>
      <c r="I89">
        <v>1</v>
      </c>
      <c r="Q89">
        <f t="shared" si="17"/>
        <v>1</v>
      </c>
    </row>
    <row r="90" spans="5:7" ht="12.75">
      <c r="E90" s="12"/>
      <c r="F90" s="12"/>
      <c r="G90" s="12"/>
    </row>
    <row r="91" spans="5:7" ht="12.75">
      <c r="E91" s="12"/>
      <c r="F91" s="12"/>
      <c r="G91" s="12"/>
    </row>
    <row r="92" spans="2:17" ht="12.75">
      <c r="B92" t="s">
        <v>344</v>
      </c>
      <c r="C92" t="s">
        <v>345</v>
      </c>
      <c r="D92" s="25">
        <v>114.8</v>
      </c>
      <c r="E92" s="12">
        <f t="shared" si="11"/>
        <v>112.3</v>
      </c>
      <c r="F92" s="12">
        <f aca="true" t="shared" si="18" ref="F92:F181">D92*H92</f>
        <v>114.8</v>
      </c>
      <c r="G92" s="12">
        <f t="shared" si="16"/>
        <v>112.3</v>
      </c>
      <c r="H92">
        <f aca="true" t="shared" si="19" ref="H92:H139">SUM(I92:P92)/Q92</f>
        <v>1</v>
      </c>
      <c r="I92">
        <v>1</v>
      </c>
      <c r="Q92">
        <f t="shared" si="17"/>
        <v>1</v>
      </c>
    </row>
    <row r="93" spans="1:17" ht="12.75">
      <c r="A93" t="s">
        <v>498</v>
      </c>
      <c r="B93" t="s">
        <v>347</v>
      </c>
      <c r="C93" t="s">
        <v>408</v>
      </c>
      <c r="D93">
        <v>95</v>
      </c>
      <c r="E93" s="12">
        <f t="shared" si="11"/>
        <v>92.5</v>
      </c>
      <c r="F93" s="12">
        <f t="shared" si="18"/>
        <v>95</v>
      </c>
      <c r="G93" s="12">
        <f t="shared" si="16"/>
        <v>92.5</v>
      </c>
      <c r="H93">
        <f t="shared" si="19"/>
        <v>1</v>
      </c>
      <c r="I93">
        <v>1</v>
      </c>
      <c r="Q93">
        <f t="shared" si="17"/>
        <v>1</v>
      </c>
    </row>
    <row r="94" spans="2:17" ht="12.75">
      <c r="B94" t="s">
        <v>338</v>
      </c>
      <c r="C94" t="s">
        <v>348</v>
      </c>
      <c r="D94">
        <v>91</v>
      </c>
      <c r="E94" s="12">
        <f t="shared" si="11"/>
        <v>88.5</v>
      </c>
      <c r="F94" s="12">
        <f t="shared" si="18"/>
        <v>91</v>
      </c>
      <c r="G94" s="12">
        <f t="shared" si="16"/>
        <v>88.5</v>
      </c>
      <c r="H94">
        <f t="shared" si="19"/>
        <v>1</v>
      </c>
      <c r="I94">
        <v>1</v>
      </c>
      <c r="Q94">
        <f t="shared" si="17"/>
        <v>1</v>
      </c>
    </row>
    <row r="95" spans="2:17" ht="12.75">
      <c r="B95" t="s">
        <v>236</v>
      </c>
      <c r="C95" t="s">
        <v>90</v>
      </c>
      <c r="D95">
        <v>116</v>
      </c>
      <c r="E95" s="12">
        <f t="shared" si="11"/>
        <v>113.5</v>
      </c>
      <c r="F95" s="12">
        <f t="shared" si="18"/>
        <v>116</v>
      </c>
      <c r="G95" s="12">
        <f t="shared" si="16"/>
        <v>113.5</v>
      </c>
      <c r="H95">
        <f t="shared" si="19"/>
        <v>1</v>
      </c>
      <c r="I95">
        <v>1</v>
      </c>
      <c r="Q95">
        <f t="shared" si="17"/>
        <v>1</v>
      </c>
    </row>
    <row r="96" spans="2:17" ht="12.75">
      <c r="B96" t="s">
        <v>350</v>
      </c>
      <c r="C96" t="s">
        <v>351</v>
      </c>
      <c r="D96">
        <v>98</v>
      </c>
      <c r="E96" s="12">
        <f t="shared" si="11"/>
        <v>95.5</v>
      </c>
      <c r="F96" s="12">
        <f t="shared" si="18"/>
        <v>98</v>
      </c>
      <c r="G96" s="12">
        <f t="shared" si="16"/>
        <v>95.5</v>
      </c>
      <c r="H96">
        <f t="shared" si="19"/>
        <v>1</v>
      </c>
      <c r="I96">
        <v>1</v>
      </c>
      <c r="Q96">
        <f t="shared" si="17"/>
        <v>1</v>
      </c>
    </row>
    <row r="97" spans="2:17" ht="12.75">
      <c r="B97" t="s">
        <v>353</v>
      </c>
      <c r="C97" t="s">
        <v>360</v>
      </c>
      <c r="D97">
        <v>107</v>
      </c>
      <c r="E97" s="12">
        <f t="shared" si="11"/>
        <v>104.5</v>
      </c>
      <c r="F97" s="12">
        <f t="shared" si="18"/>
        <v>107</v>
      </c>
      <c r="G97" s="12">
        <f t="shared" si="16"/>
        <v>104.5</v>
      </c>
      <c r="H97">
        <f t="shared" si="19"/>
        <v>1</v>
      </c>
      <c r="I97">
        <v>1</v>
      </c>
      <c r="Q97">
        <f t="shared" si="17"/>
        <v>1</v>
      </c>
    </row>
    <row r="98" spans="2:17" ht="12.75">
      <c r="B98" t="s">
        <v>356</v>
      </c>
      <c r="C98" t="s">
        <v>357</v>
      </c>
      <c r="D98">
        <v>104.5</v>
      </c>
      <c r="E98" s="12">
        <f t="shared" si="11"/>
        <v>102</v>
      </c>
      <c r="F98" s="12">
        <f t="shared" si="18"/>
        <v>104.5</v>
      </c>
      <c r="G98" s="12">
        <f t="shared" si="16"/>
        <v>102</v>
      </c>
      <c r="H98">
        <f t="shared" si="19"/>
        <v>1</v>
      </c>
      <c r="I98">
        <v>1</v>
      </c>
      <c r="Q98">
        <f t="shared" si="17"/>
        <v>1</v>
      </c>
    </row>
    <row r="99" spans="2:17" ht="12.75">
      <c r="B99" t="s">
        <v>361</v>
      </c>
      <c r="C99" t="s">
        <v>417</v>
      </c>
      <c r="D99">
        <v>91.5</v>
      </c>
      <c r="E99" s="12">
        <f t="shared" si="11"/>
        <v>89</v>
      </c>
      <c r="F99" s="12">
        <f t="shared" si="18"/>
        <v>91.5</v>
      </c>
      <c r="G99" s="12">
        <f t="shared" si="16"/>
        <v>89</v>
      </c>
      <c r="H99">
        <f t="shared" si="19"/>
        <v>1</v>
      </c>
      <c r="I99">
        <v>1</v>
      </c>
      <c r="Q99">
        <f t="shared" si="17"/>
        <v>1</v>
      </c>
    </row>
    <row r="100" spans="5:7" ht="12.75">
      <c r="E100" s="12"/>
      <c r="F100" s="12"/>
      <c r="G100" s="12"/>
    </row>
    <row r="101" spans="2:17" ht="12.75">
      <c r="B101" t="s">
        <v>391</v>
      </c>
      <c r="C101" t="s">
        <v>392</v>
      </c>
      <c r="D101">
        <v>106.8</v>
      </c>
      <c r="E101" s="12">
        <f t="shared" si="11"/>
        <v>104.3</v>
      </c>
      <c r="F101" s="12">
        <f t="shared" si="18"/>
        <v>106.26599999999999</v>
      </c>
      <c r="G101" s="12">
        <f t="shared" si="16"/>
        <v>103.76599999999999</v>
      </c>
      <c r="H101">
        <f t="shared" si="19"/>
        <v>0.995</v>
      </c>
      <c r="I101">
        <v>1</v>
      </c>
      <c r="N101">
        <v>0.99</v>
      </c>
      <c r="Q101">
        <f t="shared" si="17"/>
        <v>2</v>
      </c>
    </row>
    <row r="102" spans="2:17" ht="12.75">
      <c r="B102" t="s">
        <v>395</v>
      </c>
      <c r="C102" t="s">
        <v>396</v>
      </c>
      <c r="D102">
        <v>98</v>
      </c>
      <c r="E102" s="12">
        <f t="shared" si="11"/>
        <v>95.5</v>
      </c>
      <c r="F102" s="12">
        <f t="shared" si="18"/>
        <v>98</v>
      </c>
      <c r="G102" s="12">
        <f t="shared" si="16"/>
        <v>95.5</v>
      </c>
      <c r="H102">
        <f t="shared" si="19"/>
        <v>1</v>
      </c>
      <c r="I102">
        <v>1</v>
      </c>
      <c r="Q102">
        <f t="shared" si="17"/>
        <v>1</v>
      </c>
    </row>
    <row r="103" spans="2:17" ht="12.75">
      <c r="B103" t="s">
        <v>406</v>
      </c>
      <c r="C103" t="s">
        <v>407</v>
      </c>
      <c r="D103">
        <v>91.5</v>
      </c>
      <c r="E103" s="12">
        <f t="shared" si="11"/>
        <v>89</v>
      </c>
      <c r="F103" s="12">
        <f t="shared" si="18"/>
        <v>91.5</v>
      </c>
      <c r="G103" s="12">
        <f t="shared" si="16"/>
        <v>89</v>
      </c>
      <c r="H103">
        <f t="shared" si="19"/>
        <v>1</v>
      </c>
      <c r="I103">
        <v>1</v>
      </c>
      <c r="Q103">
        <f t="shared" si="17"/>
        <v>1</v>
      </c>
    </row>
    <row r="104" spans="2:17" ht="12.75">
      <c r="B104" t="s">
        <v>409</v>
      </c>
      <c r="C104" t="s">
        <v>410</v>
      </c>
      <c r="D104">
        <v>90</v>
      </c>
      <c r="E104" s="12">
        <f t="shared" si="11"/>
        <v>87.5</v>
      </c>
      <c r="F104" s="12">
        <f t="shared" si="18"/>
        <v>90</v>
      </c>
      <c r="G104" s="12">
        <f t="shared" si="16"/>
        <v>87.5</v>
      </c>
      <c r="H104">
        <f t="shared" si="19"/>
        <v>1</v>
      </c>
      <c r="I104">
        <v>1</v>
      </c>
      <c r="Q104">
        <f t="shared" si="17"/>
        <v>1</v>
      </c>
    </row>
    <row r="105" spans="2:17" ht="12.75">
      <c r="B105" t="s">
        <v>411</v>
      </c>
      <c r="C105" t="s">
        <v>412</v>
      </c>
      <c r="D105">
        <v>110</v>
      </c>
      <c r="E105" s="12">
        <f t="shared" si="11"/>
        <v>107.5</v>
      </c>
      <c r="F105" s="12">
        <f t="shared" si="18"/>
        <v>110</v>
      </c>
      <c r="G105" s="12">
        <f t="shared" si="16"/>
        <v>107.5</v>
      </c>
      <c r="H105">
        <f t="shared" si="19"/>
        <v>1</v>
      </c>
      <c r="I105">
        <v>1</v>
      </c>
      <c r="Q105">
        <f t="shared" si="17"/>
        <v>1</v>
      </c>
    </row>
    <row r="106" spans="2:17" ht="12.75">
      <c r="B106" t="s">
        <v>416</v>
      </c>
      <c r="C106" t="s">
        <v>407</v>
      </c>
      <c r="D106">
        <v>91.5</v>
      </c>
      <c r="E106" s="12">
        <f t="shared" si="11"/>
        <v>89</v>
      </c>
      <c r="F106" s="12">
        <f t="shared" si="18"/>
        <v>91.5</v>
      </c>
      <c r="G106" s="12">
        <f t="shared" si="16"/>
        <v>89</v>
      </c>
      <c r="H106">
        <f t="shared" si="19"/>
        <v>1</v>
      </c>
      <c r="I106">
        <v>1</v>
      </c>
      <c r="Q106">
        <f t="shared" si="17"/>
        <v>1</v>
      </c>
    </row>
    <row r="107" spans="2:17" ht="12.75">
      <c r="B107" t="s">
        <v>395</v>
      </c>
      <c r="C107" t="s">
        <v>420</v>
      </c>
      <c r="D107">
        <v>97.2</v>
      </c>
      <c r="E107" s="12">
        <f t="shared" si="11"/>
        <v>94.7</v>
      </c>
      <c r="F107" s="12">
        <f t="shared" si="18"/>
        <v>97.2</v>
      </c>
      <c r="G107" s="12">
        <f t="shared" si="16"/>
        <v>94.7</v>
      </c>
      <c r="H107">
        <f t="shared" si="19"/>
        <v>1</v>
      </c>
      <c r="I107">
        <v>1</v>
      </c>
      <c r="Q107">
        <f t="shared" si="17"/>
        <v>1</v>
      </c>
    </row>
    <row r="108" spans="2:17" ht="12.75">
      <c r="B108" t="s">
        <v>421</v>
      </c>
      <c r="C108" t="s">
        <v>422</v>
      </c>
      <c r="D108">
        <v>87</v>
      </c>
      <c r="E108" s="12">
        <f t="shared" si="11"/>
        <v>84.5</v>
      </c>
      <c r="F108" s="12">
        <f t="shared" si="18"/>
        <v>87</v>
      </c>
      <c r="G108" s="12">
        <f t="shared" si="16"/>
        <v>84.5</v>
      </c>
      <c r="H108">
        <f t="shared" si="19"/>
        <v>1</v>
      </c>
      <c r="I108">
        <v>1</v>
      </c>
      <c r="Q108">
        <f t="shared" si="17"/>
        <v>1</v>
      </c>
    </row>
    <row r="109" spans="5:7" ht="12.75">
      <c r="E109" s="12"/>
      <c r="F109" s="12"/>
      <c r="G109" s="12"/>
    </row>
    <row r="110" spans="2:17" ht="12.75">
      <c r="B110" t="s">
        <v>425</v>
      </c>
      <c r="C110" t="s">
        <v>426</v>
      </c>
      <c r="D110">
        <v>105</v>
      </c>
      <c r="E110" s="12">
        <f t="shared" si="11"/>
        <v>102.5</v>
      </c>
      <c r="F110" s="12">
        <f t="shared" si="18"/>
        <v>105</v>
      </c>
      <c r="G110" s="12">
        <f t="shared" si="16"/>
        <v>102.5</v>
      </c>
      <c r="H110">
        <f t="shared" si="19"/>
        <v>1</v>
      </c>
      <c r="I110">
        <v>1</v>
      </c>
      <c r="Q110">
        <f t="shared" si="17"/>
        <v>1</v>
      </c>
    </row>
    <row r="111" spans="2:17" ht="12.75">
      <c r="B111" t="s">
        <v>427</v>
      </c>
      <c r="C111" t="s">
        <v>428</v>
      </c>
      <c r="D111">
        <v>105</v>
      </c>
      <c r="E111" s="12">
        <f t="shared" si="11"/>
        <v>102.5</v>
      </c>
      <c r="F111" s="12">
        <f t="shared" si="18"/>
        <v>105</v>
      </c>
      <c r="G111" s="12">
        <f t="shared" si="16"/>
        <v>102.5</v>
      </c>
      <c r="H111">
        <f t="shared" si="19"/>
        <v>1</v>
      </c>
      <c r="I111">
        <v>1</v>
      </c>
      <c r="Q111">
        <f t="shared" si="17"/>
        <v>1</v>
      </c>
    </row>
    <row r="112" spans="2:17" ht="12.75">
      <c r="B112" t="s">
        <v>430</v>
      </c>
      <c r="C112" t="s">
        <v>29</v>
      </c>
      <c r="D112">
        <v>105.6</v>
      </c>
      <c r="E112" s="12">
        <f t="shared" si="11"/>
        <v>103.1</v>
      </c>
      <c r="F112" s="12">
        <f t="shared" si="18"/>
        <v>105.6</v>
      </c>
      <c r="G112" s="12">
        <f t="shared" si="16"/>
        <v>103.1</v>
      </c>
      <c r="H112">
        <f t="shared" si="19"/>
        <v>1</v>
      </c>
      <c r="I112">
        <v>1</v>
      </c>
      <c r="Q112">
        <f t="shared" si="17"/>
        <v>1</v>
      </c>
    </row>
    <row r="113" spans="2:17" ht="12.75">
      <c r="B113" t="s">
        <v>432</v>
      </c>
      <c r="C113" t="s">
        <v>206</v>
      </c>
      <c r="D113">
        <v>107</v>
      </c>
      <c r="E113" s="12">
        <f t="shared" si="11"/>
        <v>104.5</v>
      </c>
      <c r="F113" s="12">
        <f t="shared" si="18"/>
        <v>107</v>
      </c>
      <c r="G113" s="12">
        <f t="shared" si="16"/>
        <v>104.5</v>
      </c>
      <c r="H113">
        <f t="shared" si="19"/>
        <v>1</v>
      </c>
      <c r="I113">
        <v>1</v>
      </c>
      <c r="Q113">
        <f t="shared" si="17"/>
        <v>1</v>
      </c>
    </row>
    <row r="114" spans="2:17" ht="12.75">
      <c r="B114" t="s">
        <v>620</v>
      </c>
      <c r="C114" t="s">
        <v>434</v>
      </c>
      <c r="D114">
        <v>84</v>
      </c>
      <c r="E114" s="12">
        <f t="shared" si="11"/>
        <v>81.5</v>
      </c>
      <c r="F114" s="12">
        <f t="shared" si="18"/>
        <v>84</v>
      </c>
      <c r="G114" s="12">
        <f t="shared" si="16"/>
        <v>81.5</v>
      </c>
      <c r="H114">
        <f t="shared" si="19"/>
        <v>1</v>
      </c>
      <c r="I114">
        <v>1</v>
      </c>
      <c r="Q114">
        <f t="shared" si="17"/>
        <v>1</v>
      </c>
    </row>
    <row r="115" spans="2:17" ht="12.75">
      <c r="B115" t="s">
        <v>436</v>
      </c>
      <c r="C115" t="s">
        <v>437</v>
      </c>
      <c r="D115">
        <v>112</v>
      </c>
      <c r="E115" s="12">
        <f t="shared" si="11"/>
        <v>109.5</v>
      </c>
      <c r="F115" s="12">
        <f t="shared" si="18"/>
        <v>112</v>
      </c>
      <c r="G115" s="12">
        <f t="shared" si="16"/>
        <v>109.5</v>
      </c>
      <c r="H115">
        <f t="shared" si="19"/>
        <v>1</v>
      </c>
      <c r="I115">
        <v>1</v>
      </c>
      <c r="Q115">
        <f t="shared" si="17"/>
        <v>1</v>
      </c>
    </row>
    <row r="116" spans="2:17" ht="12.75">
      <c r="B116" t="s">
        <v>441</v>
      </c>
      <c r="C116" t="s">
        <v>320</v>
      </c>
      <c r="D116">
        <v>107</v>
      </c>
      <c r="E116" s="12">
        <f t="shared" si="11"/>
        <v>104.5</v>
      </c>
      <c r="F116" s="12">
        <f t="shared" si="18"/>
        <v>107</v>
      </c>
      <c r="G116" s="12">
        <f t="shared" si="16"/>
        <v>104.5</v>
      </c>
      <c r="H116">
        <f t="shared" si="19"/>
        <v>1</v>
      </c>
      <c r="I116">
        <v>1</v>
      </c>
      <c r="Q116">
        <f t="shared" si="17"/>
        <v>1</v>
      </c>
    </row>
    <row r="117" spans="2:17" ht="12.75">
      <c r="B117" t="s">
        <v>443</v>
      </c>
      <c r="C117" t="s">
        <v>445</v>
      </c>
      <c r="D117">
        <v>96.5</v>
      </c>
      <c r="E117" s="12">
        <f t="shared" si="11"/>
        <v>94</v>
      </c>
      <c r="F117" s="12">
        <f t="shared" si="18"/>
        <v>96.5</v>
      </c>
      <c r="G117" s="12">
        <f t="shared" si="16"/>
        <v>94</v>
      </c>
      <c r="H117">
        <f t="shared" si="19"/>
        <v>1</v>
      </c>
      <c r="I117">
        <v>1</v>
      </c>
      <c r="Q117">
        <f t="shared" si="17"/>
        <v>1</v>
      </c>
    </row>
    <row r="118" spans="2:17" ht="12.75">
      <c r="B118" t="s">
        <v>447</v>
      </c>
      <c r="C118" t="s">
        <v>452</v>
      </c>
      <c r="D118">
        <v>98</v>
      </c>
      <c r="E118" s="12">
        <f t="shared" si="11"/>
        <v>95.5</v>
      </c>
      <c r="F118" s="12">
        <f t="shared" si="18"/>
        <v>98</v>
      </c>
      <c r="G118" s="12">
        <f t="shared" si="16"/>
        <v>95.5</v>
      </c>
      <c r="H118">
        <f t="shared" si="19"/>
        <v>1</v>
      </c>
      <c r="I118">
        <v>1</v>
      </c>
      <c r="Q118">
        <f t="shared" si="17"/>
        <v>1</v>
      </c>
    </row>
    <row r="119" spans="2:17" ht="12.75">
      <c r="B119" t="s">
        <v>449</v>
      </c>
      <c r="C119" t="s">
        <v>453</v>
      </c>
      <c r="D119">
        <v>110</v>
      </c>
      <c r="E119" s="12">
        <f t="shared" si="11"/>
        <v>107.5</v>
      </c>
      <c r="F119" s="12">
        <f t="shared" si="18"/>
        <v>110</v>
      </c>
      <c r="G119" s="12">
        <f t="shared" si="16"/>
        <v>107.5</v>
      </c>
      <c r="H119">
        <f t="shared" si="19"/>
        <v>1</v>
      </c>
      <c r="I119">
        <v>1</v>
      </c>
      <c r="Q119">
        <f t="shared" si="17"/>
        <v>1</v>
      </c>
    </row>
    <row r="120" spans="1:17" ht="12.75">
      <c r="A120" t="s">
        <v>498</v>
      </c>
      <c r="B120" t="s">
        <v>451</v>
      </c>
      <c r="C120" t="s">
        <v>497</v>
      </c>
      <c r="D120">
        <v>90</v>
      </c>
      <c r="E120" s="12">
        <f t="shared" si="11"/>
        <v>87.5</v>
      </c>
      <c r="F120" s="12">
        <f t="shared" si="18"/>
        <v>90</v>
      </c>
      <c r="G120" s="12">
        <f t="shared" si="16"/>
        <v>87.5</v>
      </c>
      <c r="H120">
        <f t="shared" si="19"/>
        <v>1</v>
      </c>
      <c r="I120">
        <v>1</v>
      </c>
      <c r="Q120">
        <f t="shared" si="17"/>
        <v>1</v>
      </c>
    </row>
    <row r="121" spans="1:17" ht="12.75">
      <c r="A121" t="s">
        <v>679</v>
      </c>
      <c r="B121" t="s">
        <v>540</v>
      </c>
      <c r="C121" t="s">
        <v>507</v>
      </c>
      <c r="D121">
        <v>80</v>
      </c>
      <c r="E121" s="12">
        <v>78</v>
      </c>
      <c r="F121" s="12">
        <v>80</v>
      </c>
      <c r="G121" s="12">
        <v>78</v>
      </c>
      <c r="H121">
        <f t="shared" si="19"/>
        <v>1</v>
      </c>
      <c r="I121">
        <v>1</v>
      </c>
      <c r="Q121">
        <f t="shared" si="17"/>
        <v>1</v>
      </c>
    </row>
    <row r="122" spans="2:17" ht="12.75">
      <c r="B122" t="s">
        <v>454</v>
      </c>
      <c r="C122" t="s">
        <v>455</v>
      </c>
      <c r="D122">
        <v>87</v>
      </c>
      <c r="E122" s="12">
        <f t="shared" si="11"/>
        <v>84.5</v>
      </c>
      <c r="F122" s="12">
        <f t="shared" si="18"/>
        <v>87</v>
      </c>
      <c r="G122" s="12">
        <f t="shared" si="16"/>
        <v>84.5</v>
      </c>
      <c r="H122">
        <f t="shared" si="19"/>
        <v>1</v>
      </c>
      <c r="I122">
        <v>1</v>
      </c>
      <c r="Q122">
        <f t="shared" si="17"/>
        <v>1</v>
      </c>
    </row>
    <row r="123" spans="2:17" ht="12.75">
      <c r="B123" t="s">
        <v>456</v>
      </c>
      <c r="C123" t="s">
        <v>457</v>
      </c>
      <c r="D123">
        <v>90</v>
      </c>
      <c r="E123" s="12">
        <f t="shared" si="11"/>
        <v>87.5</v>
      </c>
      <c r="F123" s="12">
        <f t="shared" si="18"/>
        <v>90</v>
      </c>
      <c r="G123" s="12">
        <f t="shared" si="16"/>
        <v>87.5</v>
      </c>
      <c r="H123">
        <f t="shared" si="19"/>
        <v>1</v>
      </c>
      <c r="I123">
        <v>1</v>
      </c>
      <c r="Q123">
        <f t="shared" si="17"/>
        <v>1</v>
      </c>
    </row>
    <row r="124" spans="2:17" ht="12.75">
      <c r="B124" t="s">
        <v>460</v>
      </c>
      <c r="C124" t="s">
        <v>461</v>
      </c>
      <c r="D124">
        <v>102</v>
      </c>
      <c r="E124" s="12">
        <f t="shared" si="11"/>
        <v>99.5</v>
      </c>
      <c r="F124" s="12">
        <f t="shared" si="18"/>
        <v>102</v>
      </c>
      <c r="G124" s="12">
        <f t="shared" si="16"/>
        <v>99.5</v>
      </c>
      <c r="H124">
        <f t="shared" si="19"/>
        <v>1</v>
      </c>
      <c r="I124">
        <v>1</v>
      </c>
      <c r="Q124">
        <f t="shared" si="17"/>
        <v>1</v>
      </c>
    </row>
    <row r="125" spans="5:7" ht="12.75">
      <c r="E125" s="12"/>
      <c r="F125" s="12"/>
      <c r="G125" s="12"/>
    </row>
    <row r="126" spans="2:17" ht="12.75">
      <c r="B126" t="s">
        <v>317</v>
      </c>
      <c r="C126" t="s">
        <v>318</v>
      </c>
      <c r="D126">
        <v>92</v>
      </c>
      <c r="E126" s="12">
        <f t="shared" si="11"/>
        <v>89.5</v>
      </c>
      <c r="F126" s="12">
        <f t="shared" si="18"/>
        <v>92</v>
      </c>
      <c r="G126" s="12">
        <f t="shared" si="16"/>
        <v>89.5</v>
      </c>
      <c r="H126">
        <f t="shared" si="19"/>
        <v>1</v>
      </c>
      <c r="I126">
        <v>1</v>
      </c>
      <c r="Q126">
        <f t="shared" si="17"/>
        <v>1</v>
      </c>
    </row>
    <row r="127" spans="2:17" ht="12.75">
      <c r="B127" t="s">
        <v>466</v>
      </c>
      <c r="C127" t="s">
        <v>467</v>
      </c>
      <c r="D127">
        <v>93</v>
      </c>
      <c r="E127" s="12">
        <f t="shared" si="11"/>
        <v>90.5</v>
      </c>
      <c r="F127" s="12">
        <f t="shared" si="18"/>
        <v>93</v>
      </c>
      <c r="G127" s="12">
        <f t="shared" si="16"/>
        <v>90.5</v>
      </c>
      <c r="H127">
        <f t="shared" si="19"/>
        <v>1</v>
      </c>
      <c r="I127">
        <v>1</v>
      </c>
      <c r="Q127">
        <f t="shared" si="17"/>
        <v>1</v>
      </c>
    </row>
    <row r="128" spans="1:17" ht="12.75">
      <c r="A128" t="s">
        <v>580</v>
      </c>
      <c r="B128" t="s">
        <v>481</v>
      </c>
      <c r="C128" t="s">
        <v>482</v>
      </c>
      <c r="D128">
        <v>100.7</v>
      </c>
      <c r="E128" s="12">
        <f t="shared" si="11"/>
        <v>98.2</v>
      </c>
      <c r="F128" s="12">
        <f t="shared" si="18"/>
        <v>100.7</v>
      </c>
      <c r="G128" s="12">
        <f t="shared" si="16"/>
        <v>98.2</v>
      </c>
      <c r="H128">
        <f t="shared" si="19"/>
        <v>1</v>
      </c>
      <c r="I128">
        <v>1</v>
      </c>
      <c r="Q128">
        <f t="shared" si="17"/>
        <v>1</v>
      </c>
    </row>
    <row r="129" spans="2:17" ht="12.75">
      <c r="B129" t="s">
        <v>152</v>
      </c>
      <c r="C129" t="s">
        <v>483</v>
      </c>
      <c r="D129">
        <v>113.8</v>
      </c>
      <c r="E129" s="12">
        <f t="shared" si="11"/>
        <v>111.3</v>
      </c>
      <c r="F129" s="12">
        <f t="shared" si="18"/>
        <v>113.8</v>
      </c>
      <c r="G129" s="12">
        <f t="shared" si="16"/>
        <v>111.3</v>
      </c>
      <c r="H129">
        <f t="shared" si="19"/>
        <v>1</v>
      </c>
      <c r="I129">
        <v>1</v>
      </c>
      <c r="Q129">
        <f t="shared" si="17"/>
        <v>1</v>
      </c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1:17" ht="12.75">
      <c r="A132" s="25" t="s">
        <v>646</v>
      </c>
      <c r="B132" t="s">
        <v>487</v>
      </c>
      <c r="C132" s="25" t="s">
        <v>29</v>
      </c>
      <c r="D132">
        <v>110.5</v>
      </c>
      <c r="E132" s="12">
        <f t="shared" si="11"/>
        <v>108</v>
      </c>
      <c r="F132" s="12">
        <f>D132*H132</f>
        <v>110.5</v>
      </c>
      <c r="G132" s="12">
        <f>F132-2.5</f>
        <v>108</v>
      </c>
      <c r="H132">
        <f t="shared" si="19"/>
        <v>1</v>
      </c>
      <c r="I132" s="1">
        <v>1</v>
      </c>
      <c r="J132" s="1"/>
      <c r="Q132">
        <f t="shared" si="17"/>
        <v>1</v>
      </c>
    </row>
    <row r="133" spans="2:17" ht="12.75">
      <c r="B133" t="s">
        <v>492</v>
      </c>
      <c r="C133" t="s">
        <v>491</v>
      </c>
      <c r="D133">
        <v>98</v>
      </c>
      <c r="E133" s="12">
        <f t="shared" si="11"/>
        <v>95.5</v>
      </c>
      <c r="F133" s="12">
        <f t="shared" si="18"/>
        <v>98</v>
      </c>
      <c r="G133" s="12">
        <f t="shared" si="16"/>
        <v>95.5</v>
      </c>
      <c r="H133">
        <f t="shared" si="19"/>
        <v>1</v>
      </c>
      <c r="I133">
        <v>1</v>
      </c>
      <c r="Q133">
        <f t="shared" si="17"/>
        <v>1</v>
      </c>
    </row>
    <row r="134" spans="1:20" ht="12.75">
      <c r="A134" t="s">
        <v>496</v>
      </c>
      <c r="B134" t="s">
        <v>133</v>
      </c>
      <c r="C134" t="s">
        <v>650</v>
      </c>
      <c r="D134">
        <v>89.5</v>
      </c>
      <c r="E134" s="12">
        <f t="shared" si="11"/>
        <v>87</v>
      </c>
      <c r="F134" s="12">
        <f t="shared" si="18"/>
        <v>89.5</v>
      </c>
      <c r="G134" s="12">
        <f t="shared" si="16"/>
        <v>87</v>
      </c>
      <c r="H134">
        <f t="shared" si="19"/>
        <v>1</v>
      </c>
      <c r="I134">
        <v>1</v>
      </c>
      <c r="Q134">
        <f t="shared" si="17"/>
        <v>1</v>
      </c>
      <c r="T134">
        <v>-1</v>
      </c>
    </row>
    <row r="135" spans="2:17" ht="12.75">
      <c r="B135" t="s">
        <v>501</v>
      </c>
      <c r="C135" t="s">
        <v>502</v>
      </c>
      <c r="D135">
        <v>109.2</v>
      </c>
      <c r="E135" s="12">
        <f t="shared" si="11"/>
        <v>106.7</v>
      </c>
      <c r="F135" s="12">
        <f t="shared" si="18"/>
        <v>109.2</v>
      </c>
      <c r="G135" s="12">
        <f t="shared" si="16"/>
        <v>106.7</v>
      </c>
      <c r="H135">
        <f t="shared" si="19"/>
        <v>1</v>
      </c>
      <c r="I135">
        <v>1</v>
      </c>
      <c r="Q135">
        <f t="shared" si="17"/>
        <v>1</v>
      </c>
    </row>
    <row r="136" spans="1:17" ht="12.75">
      <c r="A136" t="s">
        <v>496</v>
      </c>
      <c r="B136" t="s">
        <v>57</v>
      </c>
      <c r="C136" t="s">
        <v>507</v>
      </c>
      <c r="D136">
        <v>79</v>
      </c>
      <c r="E136" s="12">
        <f t="shared" si="11"/>
        <v>76.5</v>
      </c>
      <c r="F136" s="12">
        <f t="shared" si="18"/>
        <v>79</v>
      </c>
      <c r="G136" s="12">
        <f t="shared" si="16"/>
        <v>76.5</v>
      </c>
      <c r="H136">
        <f t="shared" si="19"/>
        <v>1</v>
      </c>
      <c r="I136">
        <v>1</v>
      </c>
      <c r="Q136">
        <f t="shared" si="17"/>
        <v>1</v>
      </c>
    </row>
    <row r="137" spans="2:17" ht="12.75">
      <c r="B137" t="s">
        <v>509</v>
      </c>
      <c r="C137" t="s">
        <v>510</v>
      </c>
      <c r="D137">
        <v>112.5</v>
      </c>
      <c r="E137" s="12">
        <f t="shared" si="11"/>
        <v>110</v>
      </c>
      <c r="F137" s="12">
        <f t="shared" si="18"/>
        <v>112.5</v>
      </c>
      <c r="G137" s="12">
        <f t="shared" si="16"/>
        <v>110</v>
      </c>
      <c r="H137">
        <f t="shared" si="19"/>
        <v>1</v>
      </c>
      <c r="I137">
        <v>1</v>
      </c>
      <c r="Q137">
        <f t="shared" si="17"/>
        <v>1</v>
      </c>
    </row>
    <row r="138" spans="1:17" ht="12.75">
      <c r="A138" t="s">
        <v>606</v>
      </c>
      <c r="B138" t="s">
        <v>511</v>
      </c>
      <c r="C138" t="s">
        <v>512</v>
      </c>
      <c r="D138">
        <v>112</v>
      </c>
      <c r="E138" s="12">
        <f t="shared" si="11"/>
        <v>109.5</v>
      </c>
      <c r="F138" s="12">
        <f t="shared" si="18"/>
        <v>112</v>
      </c>
      <c r="G138" s="12">
        <f t="shared" si="16"/>
        <v>109.5</v>
      </c>
      <c r="H138">
        <f t="shared" si="19"/>
        <v>1</v>
      </c>
      <c r="I138">
        <v>1</v>
      </c>
      <c r="Q138">
        <f t="shared" si="17"/>
        <v>1</v>
      </c>
    </row>
    <row r="139" spans="2:17" ht="12.75">
      <c r="B139" t="s">
        <v>513</v>
      </c>
      <c r="C139" t="s">
        <v>514</v>
      </c>
      <c r="D139">
        <v>105</v>
      </c>
      <c r="E139" s="12">
        <f t="shared" si="11"/>
        <v>102.5</v>
      </c>
      <c r="F139" s="12">
        <f t="shared" si="18"/>
        <v>105</v>
      </c>
      <c r="G139" s="12">
        <f t="shared" si="16"/>
        <v>102.5</v>
      </c>
      <c r="H139">
        <f t="shared" si="19"/>
        <v>1</v>
      </c>
      <c r="I139">
        <v>1</v>
      </c>
      <c r="Q139">
        <f t="shared" si="17"/>
        <v>1</v>
      </c>
    </row>
    <row r="140" spans="2:17" ht="12.75">
      <c r="B140" t="s">
        <v>525</v>
      </c>
      <c r="C140" t="s">
        <v>287</v>
      </c>
      <c r="D140">
        <v>100</v>
      </c>
      <c r="E140" s="12">
        <f t="shared" si="11"/>
        <v>97.5</v>
      </c>
      <c r="F140" s="12">
        <f t="shared" si="18"/>
        <v>100</v>
      </c>
      <c r="G140" s="12">
        <f t="shared" si="16"/>
        <v>97.5</v>
      </c>
      <c r="H140">
        <f aca="true" t="shared" si="20" ref="H140:H176">SUM(I140:P140)/Q140</f>
        <v>1</v>
      </c>
      <c r="I140">
        <v>1</v>
      </c>
      <c r="Q140">
        <f t="shared" si="17"/>
        <v>1</v>
      </c>
    </row>
    <row r="141" spans="2:17" ht="12.75">
      <c r="B141" t="s">
        <v>526</v>
      </c>
      <c r="C141" t="s">
        <v>527</v>
      </c>
      <c r="D141">
        <v>112</v>
      </c>
      <c r="E141" s="12">
        <f t="shared" si="11"/>
        <v>109.5</v>
      </c>
      <c r="F141" s="12">
        <f t="shared" si="18"/>
        <v>112</v>
      </c>
      <c r="G141" s="12">
        <f t="shared" si="16"/>
        <v>109.5</v>
      </c>
      <c r="H141">
        <f t="shared" si="20"/>
        <v>1</v>
      </c>
      <c r="I141">
        <v>1</v>
      </c>
      <c r="Q141">
        <f t="shared" si="17"/>
        <v>1</v>
      </c>
    </row>
    <row r="142" spans="2:17" ht="12.75">
      <c r="B142" t="s">
        <v>528</v>
      </c>
      <c r="C142" t="s">
        <v>410</v>
      </c>
      <c r="D142">
        <v>90</v>
      </c>
      <c r="E142" s="12">
        <f t="shared" si="11"/>
        <v>87.5</v>
      </c>
      <c r="F142" s="12">
        <f t="shared" si="18"/>
        <v>90</v>
      </c>
      <c r="G142" s="12">
        <f t="shared" si="16"/>
        <v>87.5</v>
      </c>
      <c r="H142">
        <f t="shared" si="20"/>
        <v>1</v>
      </c>
      <c r="I142">
        <v>1</v>
      </c>
      <c r="Q142">
        <f t="shared" si="17"/>
        <v>1</v>
      </c>
    </row>
    <row r="143" spans="1:17" ht="12.75">
      <c r="A143" t="s">
        <v>606</v>
      </c>
      <c r="B143" t="s">
        <v>529</v>
      </c>
      <c r="C143" t="s">
        <v>530</v>
      </c>
      <c r="D143">
        <v>95</v>
      </c>
      <c r="E143" s="12">
        <f t="shared" si="11"/>
        <v>92.5</v>
      </c>
      <c r="F143" s="12">
        <f t="shared" si="18"/>
        <v>95</v>
      </c>
      <c r="G143" s="12">
        <f t="shared" si="16"/>
        <v>92.5</v>
      </c>
      <c r="H143">
        <f t="shared" si="20"/>
        <v>1</v>
      </c>
      <c r="I143">
        <v>1</v>
      </c>
      <c r="Q143">
        <f t="shared" si="17"/>
        <v>1</v>
      </c>
    </row>
    <row r="144" spans="1:19" ht="12.75">
      <c r="A144" t="s">
        <v>567</v>
      </c>
      <c r="B144" t="s">
        <v>282</v>
      </c>
      <c r="C144" t="s">
        <v>531</v>
      </c>
      <c r="D144">
        <v>69</v>
      </c>
      <c r="E144" s="12">
        <f t="shared" si="11"/>
        <v>66.5</v>
      </c>
      <c r="F144" s="12">
        <f t="shared" si="18"/>
        <v>69</v>
      </c>
      <c r="G144" s="12">
        <f t="shared" si="16"/>
        <v>66.5</v>
      </c>
      <c r="H144">
        <f t="shared" si="20"/>
        <v>1</v>
      </c>
      <c r="I144">
        <v>1</v>
      </c>
      <c r="Q144">
        <f t="shared" si="17"/>
        <v>1</v>
      </c>
      <c r="S144" s="25"/>
    </row>
    <row r="145" spans="1:17" ht="12.75">
      <c r="A145" t="s">
        <v>496</v>
      </c>
      <c r="B145" s="25" t="s">
        <v>501</v>
      </c>
      <c r="C145" t="s">
        <v>477</v>
      </c>
      <c r="D145">
        <v>101</v>
      </c>
      <c r="E145" s="12">
        <f t="shared" si="11"/>
        <v>98.5</v>
      </c>
      <c r="F145" s="12">
        <f t="shared" si="18"/>
        <v>101</v>
      </c>
      <c r="G145" s="12">
        <f t="shared" si="16"/>
        <v>98.5</v>
      </c>
      <c r="H145">
        <f t="shared" si="20"/>
        <v>1</v>
      </c>
      <c r="I145">
        <v>1</v>
      </c>
      <c r="Q145">
        <f t="shared" si="17"/>
        <v>1</v>
      </c>
    </row>
    <row r="146" spans="1:19" ht="12.75">
      <c r="A146" t="s">
        <v>581</v>
      </c>
      <c r="B146" s="25" t="s">
        <v>260</v>
      </c>
      <c r="C146" s="25" t="s">
        <v>588</v>
      </c>
      <c r="D146">
        <v>87.4</v>
      </c>
      <c r="E146" s="12">
        <f t="shared" si="11"/>
        <v>84.9</v>
      </c>
      <c r="F146" s="12">
        <f t="shared" si="18"/>
        <v>87.4</v>
      </c>
      <c r="G146" s="12">
        <f t="shared" si="16"/>
        <v>84.9</v>
      </c>
      <c r="H146">
        <f t="shared" si="20"/>
        <v>1</v>
      </c>
      <c r="I146">
        <v>1</v>
      </c>
      <c r="N146">
        <v>1</v>
      </c>
      <c r="O146">
        <v>1</v>
      </c>
      <c r="P146">
        <v>1</v>
      </c>
      <c r="Q146">
        <f t="shared" si="17"/>
        <v>4</v>
      </c>
      <c r="S146" s="25"/>
    </row>
    <row r="147" spans="2:17" ht="12.75">
      <c r="B147" s="25" t="s">
        <v>103</v>
      </c>
      <c r="C147" s="25" t="s">
        <v>539</v>
      </c>
      <c r="D147">
        <v>78</v>
      </c>
      <c r="E147" s="12">
        <f t="shared" si="11"/>
        <v>75.5</v>
      </c>
      <c r="F147" s="12">
        <f t="shared" si="18"/>
        <v>78</v>
      </c>
      <c r="G147" s="12">
        <f t="shared" si="16"/>
        <v>75.5</v>
      </c>
      <c r="H147">
        <f t="shared" si="20"/>
        <v>1</v>
      </c>
      <c r="I147">
        <v>1</v>
      </c>
      <c r="Q147">
        <f t="shared" si="17"/>
        <v>1</v>
      </c>
    </row>
    <row r="148" spans="1:17" ht="12.75">
      <c r="A148" t="s">
        <v>495</v>
      </c>
      <c r="B148" s="25" t="s">
        <v>541</v>
      </c>
      <c r="C148" s="25" t="s">
        <v>542</v>
      </c>
      <c r="D148">
        <v>90</v>
      </c>
      <c r="E148" s="12">
        <f t="shared" si="11"/>
        <v>87.5</v>
      </c>
      <c r="F148" s="12">
        <f t="shared" si="18"/>
        <v>90</v>
      </c>
      <c r="G148" s="12">
        <f t="shared" si="16"/>
        <v>87.5</v>
      </c>
      <c r="H148">
        <f t="shared" si="20"/>
        <v>1</v>
      </c>
      <c r="I148">
        <v>1</v>
      </c>
      <c r="Q148">
        <f t="shared" si="17"/>
        <v>1</v>
      </c>
    </row>
    <row r="149" spans="2:17" ht="12.75">
      <c r="B149" s="25" t="s">
        <v>543</v>
      </c>
      <c r="C149" s="25" t="s">
        <v>452</v>
      </c>
      <c r="D149">
        <v>98</v>
      </c>
      <c r="E149" s="12">
        <f t="shared" si="11"/>
        <v>95.5</v>
      </c>
      <c r="F149" s="12">
        <f t="shared" si="18"/>
        <v>98</v>
      </c>
      <c r="G149" s="12">
        <f t="shared" si="16"/>
        <v>95.5</v>
      </c>
      <c r="H149">
        <f t="shared" si="20"/>
        <v>1</v>
      </c>
      <c r="I149">
        <v>1</v>
      </c>
      <c r="Q149">
        <f t="shared" si="17"/>
        <v>1</v>
      </c>
    </row>
    <row r="150" spans="1:17" ht="12.75">
      <c r="A150" t="s">
        <v>496</v>
      </c>
      <c r="B150" s="25" t="s">
        <v>545</v>
      </c>
      <c r="C150" s="25" t="s">
        <v>551</v>
      </c>
      <c r="D150">
        <v>94</v>
      </c>
      <c r="E150" s="12">
        <f t="shared" si="11"/>
        <v>91.5</v>
      </c>
      <c r="F150" s="12">
        <f t="shared" si="18"/>
        <v>94</v>
      </c>
      <c r="G150" s="12">
        <f t="shared" si="16"/>
        <v>91.5</v>
      </c>
      <c r="H150">
        <f t="shared" si="20"/>
        <v>1</v>
      </c>
      <c r="I150">
        <v>1</v>
      </c>
      <c r="Q150">
        <f t="shared" si="17"/>
        <v>1</v>
      </c>
    </row>
    <row r="151" spans="2:17" ht="12" customHeight="1">
      <c r="B151" s="25" t="s">
        <v>562</v>
      </c>
      <c r="C151" s="25" t="s">
        <v>554</v>
      </c>
      <c r="D151">
        <v>98</v>
      </c>
      <c r="E151" s="12">
        <f t="shared" si="11"/>
        <v>95.5</v>
      </c>
      <c r="F151" s="12">
        <f t="shared" si="18"/>
        <v>98</v>
      </c>
      <c r="G151" s="12">
        <f t="shared" si="16"/>
        <v>95.5</v>
      </c>
      <c r="H151">
        <f t="shared" si="20"/>
        <v>1</v>
      </c>
      <c r="I151">
        <v>1</v>
      </c>
      <c r="Q151">
        <f t="shared" si="17"/>
        <v>1</v>
      </c>
    </row>
    <row r="152" spans="1:17" ht="12.75">
      <c r="A152" t="s">
        <v>567</v>
      </c>
      <c r="B152" s="25" t="s">
        <v>566</v>
      </c>
      <c r="C152" s="25" t="s">
        <v>407</v>
      </c>
      <c r="D152">
        <v>86.5</v>
      </c>
      <c r="E152" s="12">
        <f t="shared" si="11"/>
        <v>84</v>
      </c>
      <c r="F152" s="12">
        <f t="shared" si="18"/>
        <v>86.5</v>
      </c>
      <c r="G152" s="12">
        <f t="shared" si="16"/>
        <v>84</v>
      </c>
      <c r="H152">
        <f t="shared" si="20"/>
        <v>1</v>
      </c>
      <c r="I152">
        <v>1</v>
      </c>
      <c r="Q152">
        <f t="shared" si="17"/>
        <v>1</v>
      </c>
    </row>
    <row r="153" spans="2:17" ht="12.75">
      <c r="B153" s="25" t="s">
        <v>568</v>
      </c>
      <c r="C153" s="25" t="s">
        <v>569</v>
      </c>
      <c r="D153">
        <v>107</v>
      </c>
      <c r="E153" s="12">
        <f t="shared" si="11"/>
        <v>104.5</v>
      </c>
      <c r="F153" s="12">
        <f t="shared" si="18"/>
        <v>107</v>
      </c>
      <c r="G153" s="12">
        <f t="shared" si="16"/>
        <v>104.5</v>
      </c>
      <c r="H153">
        <f t="shared" si="20"/>
        <v>1</v>
      </c>
      <c r="I153">
        <v>1</v>
      </c>
      <c r="Q153">
        <f t="shared" si="17"/>
        <v>1</v>
      </c>
    </row>
    <row r="154" spans="1:17" ht="12.75">
      <c r="A154" t="s">
        <v>596</v>
      </c>
      <c r="B154" s="25" t="s">
        <v>570</v>
      </c>
      <c r="C154" s="25" t="s">
        <v>571</v>
      </c>
      <c r="D154">
        <v>109.6</v>
      </c>
      <c r="E154" s="12">
        <f t="shared" si="11"/>
        <v>107.1</v>
      </c>
      <c r="F154" s="12">
        <f t="shared" si="18"/>
        <v>109.6</v>
      </c>
      <c r="G154" s="12">
        <f t="shared" si="16"/>
        <v>107.1</v>
      </c>
      <c r="H154">
        <f t="shared" si="20"/>
        <v>1</v>
      </c>
      <c r="I154">
        <v>1</v>
      </c>
      <c r="Q154">
        <f t="shared" si="17"/>
        <v>1</v>
      </c>
    </row>
    <row r="155" spans="2:17" ht="12.75">
      <c r="B155" s="25" t="s">
        <v>572</v>
      </c>
      <c r="C155" s="25" t="s">
        <v>573</v>
      </c>
      <c r="D155">
        <v>115</v>
      </c>
      <c r="E155" s="12">
        <f t="shared" si="11"/>
        <v>112.5</v>
      </c>
      <c r="F155" s="12">
        <f t="shared" si="18"/>
        <v>115</v>
      </c>
      <c r="G155" s="12">
        <f t="shared" si="16"/>
        <v>112.5</v>
      </c>
      <c r="H155">
        <f t="shared" si="20"/>
        <v>1</v>
      </c>
      <c r="I155">
        <v>1</v>
      </c>
      <c r="Q155">
        <f t="shared" si="17"/>
        <v>1</v>
      </c>
    </row>
    <row r="156" spans="2:17" ht="12.75">
      <c r="B156" s="25" t="s">
        <v>574</v>
      </c>
      <c r="C156" s="25" t="s">
        <v>586</v>
      </c>
      <c r="D156">
        <v>103.9</v>
      </c>
      <c r="E156" s="12">
        <f t="shared" si="11"/>
        <v>101.4</v>
      </c>
      <c r="F156" s="12">
        <f t="shared" si="18"/>
        <v>103.9</v>
      </c>
      <c r="G156" s="12">
        <f t="shared" si="16"/>
        <v>101.4</v>
      </c>
      <c r="H156">
        <f t="shared" si="20"/>
        <v>1</v>
      </c>
      <c r="I156">
        <v>1</v>
      </c>
      <c r="Q156">
        <f t="shared" si="17"/>
        <v>1</v>
      </c>
    </row>
    <row r="157" spans="2:17" ht="12.75">
      <c r="B157" s="25" t="s">
        <v>540</v>
      </c>
      <c r="C157" s="25" t="s">
        <v>582</v>
      </c>
      <c r="D157">
        <v>94.5</v>
      </c>
      <c r="E157" s="12">
        <f t="shared" si="11"/>
        <v>92</v>
      </c>
      <c r="F157" s="12">
        <f t="shared" si="18"/>
        <v>94.5</v>
      </c>
      <c r="G157" s="12">
        <f>F157-2</f>
        <v>92.5</v>
      </c>
      <c r="H157">
        <f t="shared" si="20"/>
        <v>1</v>
      </c>
      <c r="I157">
        <v>1</v>
      </c>
      <c r="Q157">
        <f t="shared" si="17"/>
        <v>1</v>
      </c>
    </row>
    <row r="158" spans="2:17" ht="12.75">
      <c r="B158" s="25" t="s">
        <v>57</v>
      </c>
      <c r="C158" s="25" t="s">
        <v>584</v>
      </c>
      <c r="D158">
        <v>80.5</v>
      </c>
      <c r="E158" s="12">
        <f t="shared" si="11"/>
        <v>78</v>
      </c>
      <c r="F158" s="12">
        <f t="shared" si="18"/>
        <v>80.5</v>
      </c>
      <c r="G158" s="12">
        <f t="shared" si="16"/>
        <v>78</v>
      </c>
      <c r="H158">
        <f t="shared" si="20"/>
        <v>1</v>
      </c>
      <c r="I158">
        <v>1</v>
      </c>
      <c r="Q158">
        <f t="shared" si="17"/>
        <v>1</v>
      </c>
    </row>
    <row r="159" spans="2:17" ht="12.75">
      <c r="B159" s="25" t="s">
        <v>593</v>
      </c>
      <c r="C159" s="25" t="s">
        <v>594</v>
      </c>
      <c r="D159">
        <v>80.5</v>
      </c>
      <c r="E159" s="12">
        <f t="shared" si="11"/>
        <v>78</v>
      </c>
      <c r="F159" s="12">
        <f t="shared" si="18"/>
        <v>80.5</v>
      </c>
      <c r="G159" s="12">
        <f t="shared" si="16"/>
        <v>78</v>
      </c>
      <c r="H159">
        <f t="shared" si="20"/>
        <v>1</v>
      </c>
      <c r="I159">
        <v>1</v>
      </c>
      <c r="Q159">
        <f t="shared" si="17"/>
        <v>1</v>
      </c>
    </row>
    <row r="160" spans="2:17" ht="12.75">
      <c r="B160" s="25" t="s">
        <v>598</v>
      </c>
      <c r="C160" s="25" t="s">
        <v>457</v>
      </c>
      <c r="D160">
        <v>89.5</v>
      </c>
      <c r="E160" s="12">
        <f t="shared" si="11"/>
        <v>87</v>
      </c>
      <c r="F160" s="12">
        <f t="shared" si="18"/>
        <v>89.5</v>
      </c>
      <c r="G160" s="12">
        <f t="shared" si="16"/>
        <v>87</v>
      </c>
      <c r="H160">
        <f t="shared" si="20"/>
        <v>1</v>
      </c>
      <c r="I160">
        <v>1</v>
      </c>
      <c r="Q160">
        <f t="shared" si="17"/>
        <v>1</v>
      </c>
    </row>
    <row r="161" spans="2:17" ht="12.75">
      <c r="B161" s="25" t="s">
        <v>600</v>
      </c>
      <c r="C161" s="25" t="s">
        <v>601</v>
      </c>
      <c r="D161">
        <v>102</v>
      </c>
      <c r="E161" s="12">
        <f t="shared" si="11"/>
        <v>99.5</v>
      </c>
      <c r="F161" s="12">
        <f t="shared" si="18"/>
        <v>102</v>
      </c>
      <c r="G161" s="12">
        <f t="shared" si="16"/>
        <v>99.5</v>
      </c>
      <c r="H161">
        <f t="shared" si="20"/>
        <v>1</v>
      </c>
      <c r="I161">
        <v>1</v>
      </c>
      <c r="Q161">
        <f t="shared" si="17"/>
        <v>1</v>
      </c>
    </row>
    <row r="162" spans="2:17" ht="12.75">
      <c r="B162" s="25" t="s">
        <v>479</v>
      </c>
      <c r="C162" s="25" t="s">
        <v>604</v>
      </c>
      <c r="D162">
        <v>94.5</v>
      </c>
      <c r="E162" s="12">
        <f t="shared" si="11"/>
        <v>92</v>
      </c>
      <c r="F162" s="12">
        <f t="shared" si="18"/>
        <v>94.5</v>
      </c>
      <c r="G162" s="12">
        <f t="shared" si="16"/>
        <v>92</v>
      </c>
      <c r="H162">
        <f t="shared" si="20"/>
        <v>1</v>
      </c>
      <c r="I162">
        <v>1</v>
      </c>
      <c r="Q162">
        <f t="shared" si="17"/>
        <v>1</v>
      </c>
    </row>
    <row r="163" spans="2:17" ht="12.75">
      <c r="B163" s="25" t="s">
        <v>492</v>
      </c>
      <c r="C163" s="25" t="s">
        <v>607</v>
      </c>
      <c r="D163">
        <v>96</v>
      </c>
      <c r="E163" s="12">
        <f t="shared" si="11"/>
        <v>93.5</v>
      </c>
      <c r="F163" s="12">
        <f t="shared" si="18"/>
        <v>96</v>
      </c>
      <c r="G163" s="12">
        <f t="shared" si="16"/>
        <v>93.5</v>
      </c>
      <c r="H163">
        <f t="shared" si="20"/>
        <v>1</v>
      </c>
      <c r="I163">
        <v>1</v>
      </c>
      <c r="Q163">
        <f t="shared" si="17"/>
        <v>1</v>
      </c>
    </row>
    <row r="164" spans="2:17" ht="12.75">
      <c r="B164" s="25" t="s">
        <v>608</v>
      </c>
      <c r="C164" s="25" t="s">
        <v>609</v>
      </c>
      <c r="D164">
        <v>106</v>
      </c>
      <c r="E164" s="12">
        <f t="shared" si="11"/>
        <v>103.5</v>
      </c>
      <c r="F164" s="12">
        <f t="shared" si="18"/>
        <v>106</v>
      </c>
      <c r="G164" s="12">
        <f t="shared" si="16"/>
        <v>103.5</v>
      </c>
      <c r="H164">
        <f t="shared" si="20"/>
        <v>1</v>
      </c>
      <c r="I164">
        <v>1</v>
      </c>
      <c r="Q164">
        <f t="shared" si="17"/>
        <v>1</v>
      </c>
    </row>
    <row r="165" spans="2:17" ht="12.75">
      <c r="B165" s="25" t="s">
        <v>613</v>
      </c>
      <c r="C165" s="25" t="s">
        <v>614</v>
      </c>
      <c r="D165">
        <v>113</v>
      </c>
      <c r="E165" s="12">
        <f t="shared" si="11"/>
        <v>110.5</v>
      </c>
      <c r="F165" s="12">
        <f t="shared" si="18"/>
        <v>113</v>
      </c>
      <c r="G165" s="12">
        <f t="shared" si="16"/>
        <v>110.5</v>
      </c>
      <c r="H165">
        <f t="shared" si="20"/>
        <v>1</v>
      </c>
      <c r="I165">
        <v>1</v>
      </c>
      <c r="Q165">
        <f t="shared" si="17"/>
        <v>1</v>
      </c>
    </row>
    <row r="166" spans="2:17" ht="12.75">
      <c r="B166" s="25" t="s">
        <v>623</v>
      </c>
      <c r="C166" s="25" t="s">
        <v>624</v>
      </c>
      <c r="D166">
        <v>95.5</v>
      </c>
      <c r="E166" s="12">
        <f t="shared" si="11"/>
        <v>93</v>
      </c>
      <c r="F166" s="12">
        <f t="shared" si="18"/>
        <v>95.5</v>
      </c>
      <c r="G166" s="12">
        <f t="shared" si="16"/>
        <v>93</v>
      </c>
      <c r="H166">
        <f t="shared" si="20"/>
        <v>1</v>
      </c>
      <c r="I166">
        <v>1</v>
      </c>
      <c r="Q166">
        <f t="shared" si="17"/>
        <v>1</v>
      </c>
    </row>
    <row r="167" spans="2:17" ht="12.75">
      <c r="B167" s="25" t="s">
        <v>447</v>
      </c>
      <c r="C167" s="25" t="s">
        <v>625</v>
      </c>
      <c r="D167">
        <v>108</v>
      </c>
      <c r="E167" s="12">
        <f t="shared" si="11"/>
        <v>105.5</v>
      </c>
      <c r="F167" s="12">
        <f t="shared" si="18"/>
        <v>108</v>
      </c>
      <c r="G167" s="12">
        <f t="shared" si="16"/>
        <v>105.5</v>
      </c>
      <c r="H167">
        <f t="shared" si="20"/>
        <v>1</v>
      </c>
      <c r="I167">
        <v>1</v>
      </c>
      <c r="Q167">
        <f t="shared" si="17"/>
        <v>1</v>
      </c>
    </row>
    <row r="168" spans="2:17" ht="12.75">
      <c r="B168" s="25" t="s">
        <v>626</v>
      </c>
      <c r="C168" s="25" t="s">
        <v>627</v>
      </c>
      <c r="D168">
        <v>120</v>
      </c>
      <c r="E168" s="12">
        <f t="shared" si="11"/>
        <v>117.5</v>
      </c>
      <c r="F168" s="12">
        <f t="shared" si="18"/>
        <v>120</v>
      </c>
      <c r="G168" s="12">
        <f t="shared" si="16"/>
        <v>117.5</v>
      </c>
      <c r="H168">
        <f t="shared" si="20"/>
        <v>1</v>
      </c>
      <c r="I168">
        <v>1</v>
      </c>
      <c r="Q168">
        <f t="shared" si="17"/>
        <v>1</v>
      </c>
    </row>
    <row r="169" spans="2:17" ht="12.75">
      <c r="B169" s="25" t="s">
        <v>46</v>
      </c>
      <c r="C169" s="25" t="s">
        <v>357</v>
      </c>
      <c r="D169">
        <v>98</v>
      </c>
      <c r="E169" s="12">
        <f t="shared" si="11"/>
        <v>95.5</v>
      </c>
      <c r="F169" s="12">
        <f t="shared" si="18"/>
        <v>98</v>
      </c>
      <c r="G169" s="12">
        <f t="shared" si="16"/>
        <v>95.5</v>
      </c>
      <c r="H169">
        <f t="shared" si="20"/>
        <v>1</v>
      </c>
      <c r="I169">
        <v>1</v>
      </c>
      <c r="Q169">
        <f t="shared" si="17"/>
        <v>1</v>
      </c>
    </row>
    <row r="170" spans="2:17" ht="12.75">
      <c r="B170" s="25" t="s">
        <v>631</v>
      </c>
      <c r="C170" s="25" t="s">
        <v>632</v>
      </c>
      <c r="D170">
        <v>110</v>
      </c>
      <c r="E170" s="12">
        <f t="shared" si="11"/>
        <v>107.5</v>
      </c>
      <c r="F170" s="12">
        <f t="shared" si="18"/>
        <v>110</v>
      </c>
      <c r="G170" s="12">
        <f t="shared" si="16"/>
        <v>107.5</v>
      </c>
      <c r="H170">
        <f t="shared" si="20"/>
        <v>1</v>
      </c>
      <c r="I170">
        <v>1</v>
      </c>
      <c r="Q170">
        <f t="shared" si="17"/>
        <v>1</v>
      </c>
    </row>
    <row r="171" spans="2:17" ht="12.75">
      <c r="B171" s="25" t="s">
        <v>633</v>
      </c>
      <c r="C171" s="25" t="s">
        <v>634</v>
      </c>
      <c r="D171">
        <v>91.4</v>
      </c>
      <c r="E171" s="12">
        <f t="shared" si="11"/>
        <v>88.9</v>
      </c>
      <c r="F171" s="12">
        <f t="shared" si="18"/>
        <v>83.174</v>
      </c>
      <c r="G171" s="12">
        <f t="shared" si="16"/>
        <v>80.674</v>
      </c>
      <c r="H171">
        <f t="shared" si="20"/>
        <v>0.91</v>
      </c>
      <c r="I171">
        <v>0.91</v>
      </c>
      <c r="Q171">
        <f t="shared" si="17"/>
        <v>1</v>
      </c>
    </row>
    <row r="172" spans="2:17" ht="12.75">
      <c r="B172" s="25" t="s">
        <v>509</v>
      </c>
      <c r="C172" s="25" t="s">
        <v>641</v>
      </c>
      <c r="D172">
        <v>107</v>
      </c>
      <c r="E172" s="12">
        <f t="shared" si="11"/>
        <v>104.5</v>
      </c>
      <c r="F172" s="12">
        <f t="shared" si="18"/>
        <v>107</v>
      </c>
      <c r="G172" s="12">
        <f t="shared" si="16"/>
        <v>104.5</v>
      </c>
      <c r="H172">
        <f t="shared" si="20"/>
        <v>1</v>
      </c>
      <c r="I172">
        <v>1</v>
      </c>
      <c r="Q172">
        <f t="shared" si="17"/>
        <v>1</v>
      </c>
    </row>
    <row r="173" spans="2:17" ht="12.75">
      <c r="B173" s="25" t="s">
        <v>643</v>
      </c>
      <c r="C173" s="25" t="s">
        <v>644</v>
      </c>
      <c r="D173">
        <v>104</v>
      </c>
      <c r="E173" s="12">
        <f t="shared" si="11"/>
        <v>101.5</v>
      </c>
      <c r="F173" s="12">
        <f t="shared" si="18"/>
        <v>104</v>
      </c>
      <c r="G173" s="12">
        <f t="shared" si="16"/>
        <v>101.5</v>
      </c>
      <c r="H173">
        <f t="shared" si="20"/>
        <v>1</v>
      </c>
      <c r="I173">
        <v>1</v>
      </c>
      <c r="Q173">
        <f t="shared" si="17"/>
        <v>1</v>
      </c>
    </row>
    <row r="174" spans="1:17" ht="12.75">
      <c r="A174" t="s">
        <v>647</v>
      </c>
      <c r="B174" s="25" t="s">
        <v>540</v>
      </c>
      <c r="C174" s="25" t="s">
        <v>569</v>
      </c>
      <c r="D174">
        <v>96.5</v>
      </c>
      <c r="E174" s="12">
        <f t="shared" si="11"/>
        <v>94</v>
      </c>
      <c r="F174" s="12">
        <f t="shared" si="18"/>
        <v>95.17312500000001</v>
      </c>
      <c r="G174" s="12">
        <f t="shared" si="16"/>
        <v>92.67312500000001</v>
      </c>
      <c r="H174">
        <f t="shared" si="20"/>
        <v>0.9862500000000001</v>
      </c>
      <c r="I174">
        <v>1</v>
      </c>
      <c r="J174">
        <v>1</v>
      </c>
      <c r="K174">
        <v>1</v>
      </c>
      <c r="L174">
        <v>0.89</v>
      </c>
      <c r="M174">
        <v>1</v>
      </c>
      <c r="N174">
        <v>1</v>
      </c>
      <c r="O174">
        <v>1</v>
      </c>
      <c r="P174">
        <v>1</v>
      </c>
      <c r="Q174">
        <f t="shared" si="17"/>
        <v>8</v>
      </c>
    </row>
    <row r="175" spans="2:17" ht="12.75">
      <c r="B175" s="25" t="s">
        <v>3</v>
      </c>
      <c r="C175" s="25" t="s">
        <v>648</v>
      </c>
      <c r="D175">
        <v>101</v>
      </c>
      <c r="E175" s="12">
        <f t="shared" si="11"/>
        <v>98.5</v>
      </c>
      <c r="F175" s="12">
        <f t="shared" si="18"/>
        <v>101</v>
      </c>
      <c r="G175" s="12">
        <f t="shared" si="16"/>
        <v>98.5</v>
      </c>
      <c r="H175">
        <f t="shared" si="20"/>
        <v>1</v>
      </c>
      <c r="I175">
        <v>1</v>
      </c>
      <c r="Q175">
        <f t="shared" si="17"/>
        <v>1</v>
      </c>
    </row>
    <row r="176" spans="2:17" ht="12.75">
      <c r="B176" s="25" t="s">
        <v>652</v>
      </c>
      <c r="C176" s="25" t="s">
        <v>653</v>
      </c>
      <c r="D176">
        <v>113</v>
      </c>
      <c r="E176" s="12">
        <f t="shared" si="11"/>
        <v>110.5</v>
      </c>
      <c r="F176" s="12">
        <f t="shared" si="18"/>
        <v>113</v>
      </c>
      <c r="G176" s="12">
        <f t="shared" si="16"/>
        <v>110.5</v>
      </c>
      <c r="H176">
        <f t="shared" si="20"/>
        <v>1</v>
      </c>
      <c r="I176">
        <v>1</v>
      </c>
      <c r="Q176">
        <f t="shared" si="17"/>
        <v>1</v>
      </c>
    </row>
    <row r="177" spans="1:17" ht="12.75">
      <c r="A177" s="25" t="s">
        <v>669</v>
      </c>
      <c r="B177" s="25" t="s">
        <v>654</v>
      </c>
      <c r="C177" s="25" t="s">
        <v>655</v>
      </c>
      <c r="D177">
        <v>101.1</v>
      </c>
      <c r="E177" s="12">
        <f t="shared" si="11"/>
        <v>98.6</v>
      </c>
      <c r="F177" s="12">
        <f t="shared" si="18"/>
        <v>101.1</v>
      </c>
      <c r="G177" s="12">
        <f t="shared" si="16"/>
        <v>98.6</v>
      </c>
      <c r="H177">
        <f aca="true" t="shared" si="21" ref="H177:H183">SUM(I177:P177)/Q177</f>
        <v>1</v>
      </c>
      <c r="I177">
        <v>1</v>
      </c>
      <c r="Q177">
        <f t="shared" si="17"/>
        <v>1</v>
      </c>
    </row>
    <row r="178" spans="1:17" ht="12.75">
      <c r="A178" s="25" t="s">
        <v>495</v>
      </c>
      <c r="B178" s="25" t="s">
        <v>657</v>
      </c>
      <c r="C178" s="25" t="s">
        <v>658</v>
      </c>
      <c r="D178">
        <v>93</v>
      </c>
      <c r="E178" s="12">
        <f t="shared" si="11"/>
        <v>90.5</v>
      </c>
      <c r="F178" s="12">
        <f t="shared" si="18"/>
        <v>93</v>
      </c>
      <c r="G178" s="12">
        <f t="shared" si="16"/>
        <v>90.5</v>
      </c>
      <c r="H178">
        <f t="shared" si="21"/>
        <v>1</v>
      </c>
      <c r="I178">
        <v>1</v>
      </c>
      <c r="Q178">
        <f t="shared" si="17"/>
        <v>1</v>
      </c>
    </row>
    <row r="179" spans="1:17" ht="12.75">
      <c r="A179" s="25" t="s">
        <v>495</v>
      </c>
      <c r="B179" s="25" t="s">
        <v>660</v>
      </c>
      <c r="C179" s="25" t="s">
        <v>661</v>
      </c>
      <c r="D179">
        <v>97.5</v>
      </c>
      <c r="E179" s="12">
        <f t="shared" si="11"/>
        <v>95</v>
      </c>
      <c r="F179" s="12">
        <f t="shared" si="18"/>
        <v>97.5</v>
      </c>
      <c r="G179" s="12">
        <f t="shared" si="16"/>
        <v>95</v>
      </c>
      <c r="H179">
        <f t="shared" si="21"/>
        <v>1</v>
      </c>
      <c r="I179">
        <v>1</v>
      </c>
      <c r="Q179">
        <f t="shared" si="17"/>
        <v>1</v>
      </c>
    </row>
    <row r="180" spans="2:17" ht="12.75">
      <c r="B180" s="25" t="s">
        <v>663</v>
      </c>
      <c r="C180" s="25" t="s">
        <v>664</v>
      </c>
      <c r="D180">
        <v>104</v>
      </c>
      <c r="E180" s="12">
        <f t="shared" si="11"/>
        <v>101.5</v>
      </c>
      <c r="F180" s="12">
        <f t="shared" si="18"/>
        <v>104</v>
      </c>
      <c r="G180" s="12">
        <f t="shared" si="16"/>
        <v>101.5</v>
      </c>
      <c r="H180">
        <f t="shared" si="21"/>
        <v>1</v>
      </c>
      <c r="I180">
        <v>1</v>
      </c>
      <c r="Q180">
        <f t="shared" si="17"/>
        <v>1</v>
      </c>
    </row>
    <row r="181" spans="2:17" ht="12.75">
      <c r="B181" s="25" t="s">
        <v>670</v>
      </c>
      <c r="C181" s="25" t="s">
        <v>671</v>
      </c>
      <c r="D181">
        <v>90</v>
      </c>
      <c r="E181" s="12">
        <f t="shared" si="11"/>
        <v>87.5</v>
      </c>
      <c r="F181" s="12">
        <f t="shared" si="18"/>
        <v>90</v>
      </c>
      <c r="G181" s="12">
        <f t="shared" si="16"/>
        <v>87.5</v>
      </c>
      <c r="H181">
        <f t="shared" si="21"/>
        <v>1</v>
      </c>
      <c r="I181">
        <v>1</v>
      </c>
      <c r="Q181">
        <f t="shared" si="17"/>
        <v>1</v>
      </c>
    </row>
    <row r="182" spans="1:17" ht="12.75">
      <c r="A182" t="s">
        <v>495</v>
      </c>
      <c r="B182" s="25" t="s">
        <v>57</v>
      </c>
      <c r="C182" s="28" t="s">
        <v>673</v>
      </c>
      <c r="D182">
        <v>83</v>
      </c>
      <c r="E182" s="12">
        <f t="shared" si="11"/>
        <v>80.5</v>
      </c>
      <c r="F182" s="12">
        <f>D182*H182</f>
        <v>83</v>
      </c>
      <c r="G182" s="12">
        <f>F182-2.5</f>
        <v>80.5</v>
      </c>
      <c r="H182">
        <f t="shared" si="21"/>
        <v>1</v>
      </c>
      <c r="I182">
        <v>1</v>
      </c>
      <c r="Q182">
        <f t="shared" si="17"/>
        <v>1</v>
      </c>
    </row>
    <row r="183" spans="2:17" ht="12.75">
      <c r="B183" s="25" t="s">
        <v>675</v>
      </c>
      <c r="C183" s="25" t="s">
        <v>676</v>
      </c>
      <c r="D183">
        <v>116</v>
      </c>
      <c r="E183" s="12">
        <f t="shared" si="11"/>
        <v>113.5</v>
      </c>
      <c r="F183" s="12">
        <f>D183*H183</f>
        <v>116</v>
      </c>
      <c r="G183" s="12">
        <f>F183-2.5</f>
        <v>113.5</v>
      </c>
      <c r="H183">
        <f t="shared" si="21"/>
        <v>1</v>
      </c>
      <c r="I183">
        <v>1</v>
      </c>
      <c r="Q183">
        <f t="shared" si="17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E147"/>
  <sheetViews>
    <sheetView tabSelected="1" zoomScale="88" zoomScaleNormal="88" zoomScalePageLayoutView="0" workbookViewId="0" topLeftCell="B1">
      <selection activeCell="Y27" sqref="Y27:Y28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2.8515625" style="0" hidden="1" customWidth="1"/>
    <col min="4" max="4" width="13.421875" style="0" hidden="1" customWidth="1"/>
    <col min="5" max="5" width="11.28125" style="0" hidden="1" customWidth="1"/>
    <col min="6" max="6" width="9.00390625" style="0" hidden="1" customWidth="1"/>
    <col min="7" max="7" width="11.57421875" style="0" hidden="1" customWidth="1"/>
    <col min="8" max="8" width="12.421875" style="0" customWidth="1"/>
    <col min="9" max="9" width="15.28125" style="0" customWidth="1"/>
    <col min="10" max="10" width="0.5625" style="0" customWidth="1"/>
    <col min="11" max="11" width="12.8515625" style="0" customWidth="1"/>
    <col min="12" max="12" width="7.140625" style="0" customWidth="1"/>
    <col min="13" max="13" width="3.57421875" style="4" customWidth="1"/>
    <col min="14" max="14" width="0.85546875" style="18" customWidth="1"/>
    <col min="15" max="15" width="4.28125" style="19" customWidth="1"/>
    <col min="16" max="16" width="4.00390625" style="0" customWidth="1"/>
    <col min="17" max="17" width="10.7109375" style="0" customWidth="1"/>
    <col min="18" max="19" width="7.28125" style="0" customWidth="1"/>
    <col min="20" max="20" width="4.7109375" style="0" customWidth="1"/>
    <col min="21" max="21" width="5.00390625" style="0" customWidth="1"/>
    <col min="22" max="22" width="11.8515625" style="0" customWidth="1"/>
    <col min="23" max="23" width="13.28125" style="0" customWidth="1"/>
    <col min="24" max="24" width="1.28515625" style="0" hidden="1" customWidth="1"/>
    <col min="25" max="25" width="7.140625" style="0" customWidth="1"/>
    <col min="26" max="26" width="7.28125" style="0" customWidth="1"/>
    <col min="27" max="27" width="9.28125" style="0" customWidth="1"/>
  </cols>
  <sheetData>
    <row r="1" spans="2:27" ht="15.75">
      <c r="B1" s="3"/>
      <c r="R1" s="5"/>
      <c r="AA1" s="7" t="s">
        <v>0</v>
      </c>
    </row>
    <row r="2" spans="2:27" ht="23.25">
      <c r="B2" s="21"/>
      <c r="H2" t="s">
        <v>682</v>
      </c>
      <c r="P2">
        <f>COUNTA(P8:P201)</f>
        <v>9</v>
      </c>
      <c r="Q2" t="s">
        <v>1</v>
      </c>
      <c r="AA2">
        <f>COUNTA(B8:B62)</f>
        <v>9</v>
      </c>
    </row>
    <row r="3" spans="8:27" ht="15.75">
      <c r="H3" t="s">
        <v>2</v>
      </c>
      <c r="I3" t="s">
        <v>3</v>
      </c>
      <c r="L3" t="s">
        <v>171</v>
      </c>
      <c r="P3" t="s">
        <v>4</v>
      </c>
      <c r="Q3" t="s">
        <v>5</v>
      </c>
      <c r="R3" s="6" t="s">
        <v>5</v>
      </c>
      <c r="S3" t="s">
        <v>6</v>
      </c>
      <c r="V3" t="s">
        <v>603</v>
      </c>
      <c r="W3" t="s">
        <v>7</v>
      </c>
      <c r="Y3" t="s">
        <v>8</v>
      </c>
      <c r="Z3" t="s">
        <v>9</v>
      </c>
      <c r="AA3" s="10" t="s">
        <v>10</v>
      </c>
    </row>
    <row r="4" spans="12:27" ht="15.75">
      <c r="L4" t="s">
        <v>172</v>
      </c>
      <c r="M4" s="4" t="s">
        <v>173</v>
      </c>
      <c r="Q4" t="s">
        <v>11</v>
      </c>
      <c r="R4" s="6" t="s">
        <v>4</v>
      </c>
      <c r="S4" t="s">
        <v>12</v>
      </c>
      <c r="T4" t="s">
        <v>13</v>
      </c>
      <c r="U4" t="s">
        <v>14</v>
      </c>
      <c r="V4" t="s">
        <v>15</v>
      </c>
      <c r="W4" s="1" t="s">
        <v>15</v>
      </c>
      <c r="Y4" s="4"/>
      <c r="AA4" s="26" t="s">
        <v>591</v>
      </c>
    </row>
    <row r="5" spans="18:27" ht="15.75">
      <c r="R5" s="6"/>
      <c r="W5" s="1"/>
      <c r="Y5" s="4"/>
      <c r="AA5" s="10"/>
    </row>
    <row r="6" spans="18:27" ht="15.75">
      <c r="R6" s="6"/>
      <c r="W6" s="1"/>
      <c r="Y6" s="4"/>
      <c r="AA6" s="10"/>
    </row>
    <row r="7" ht="12.75">
      <c r="B7" s="14"/>
    </row>
    <row r="8" spans="2:27" ht="15.75">
      <c r="B8">
        <v>1</v>
      </c>
      <c r="C8">
        <v>1</v>
      </c>
      <c r="D8" s="2">
        <f aca="true" ca="1" t="shared" si="0" ref="D8:D15">NOW()</f>
        <v>44742.543723842595</v>
      </c>
      <c r="E8" s="2">
        <f aca="true" t="shared" si="1" ref="E8:E15">D8-$R$1</f>
        <v>44742.543723842595</v>
      </c>
      <c r="F8">
        <f aca="true" t="shared" si="2" ref="F8:F15">C8*E8</f>
        <v>44742.543723842595</v>
      </c>
      <c r="H8" t="s">
        <v>540</v>
      </c>
      <c r="I8" t="s">
        <v>507</v>
      </c>
      <c r="K8" t="s">
        <v>301</v>
      </c>
      <c r="L8">
        <v>19</v>
      </c>
      <c r="M8" s="4">
        <v>45</v>
      </c>
      <c r="O8" s="19">
        <v>15</v>
      </c>
      <c r="P8" t="s">
        <v>681</v>
      </c>
      <c r="Q8">
        <f>Factor!F121</f>
        <v>80</v>
      </c>
      <c r="R8" s="13">
        <f>Factor!G121</f>
        <v>78</v>
      </c>
      <c r="S8">
        <f aca="true" t="shared" si="3" ref="S8:S15">HOUR(G8)</f>
        <v>0</v>
      </c>
      <c r="T8">
        <v>30</v>
      </c>
      <c r="U8">
        <f>SECOND(G8)</f>
        <v>0</v>
      </c>
      <c r="V8">
        <f aca="true" t="shared" si="4" ref="V8:V16">O8*60+S8*3600+T8*60+U8</f>
        <v>2700</v>
      </c>
      <c r="W8" s="1">
        <f aca="true" t="shared" si="5" ref="W8:W16">IF(P8="ja",100*(S8*3600+T8*60+U8+O8*60)/R8,IF(P8="nee",100*(S8*3600+T8*60+U8+O8*60)/Q8,"nog niet aanwezig"))</f>
        <v>3375</v>
      </c>
      <c r="Y8" s="22">
        <f>W8/W12</f>
        <v>0.8914042151162791</v>
      </c>
      <c r="Z8" s="1">
        <f>101+1000*LOG10($AA$2)-1000*LOG10(1)</f>
        <v>1055.2425094393247</v>
      </c>
      <c r="AA8" s="9" t="s">
        <v>20</v>
      </c>
    </row>
    <row r="9" spans="2:27" ht="15.75">
      <c r="B9">
        <v>2</v>
      </c>
      <c r="C9">
        <v>1</v>
      </c>
      <c r="D9" s="2">
        <f ca="1" t="shared" si="0"/>
        <v>44742.543723842595</v>
      </c>
      <c r="E9" s="2">
        <f t="shared" si="1"/>
        <v>44742.543723842595</v>
      </c>
      <c r="F9">
        <f t="shared" si="2"/>
        <v>44742.543723842595</v>
      </c>
      <c r="H9" t="s">
        <v>391</v>
      </c>
      <c r="I9" t="s">
        <v>392</v>
      </c>
      <c r="K9" t="s">
        <v>394</v>
      </c>
      <c r="L9">
        <v>19</v>
      </c>
      <c r="M9" s="4">
        <v>45</v>
      </c>
      <c r="O9" s="19">
        <v>15</v>
      </c>
      <c r="P9" t="s">
        <v>681</v>
      </c>
      <c r="Q9">
        <f>Factor!F101</f>
        <v>106.26599999999999</v>
      </c>
      <c r="R9">
        <f>Factor!G101</f>
        <v>103.76599999999999</v>
      </c>
      <c r="S9">
        <f t="shared" si="3"/>
        <v>0</v>
      </c>
      <c r="T9">
        <v>46</v>
      </c>
      <c r="U9">
        <v>17</v>
      </c>
      <c r="V9">
        <f t="shared" si="4"/>
        <v>3677</v>
      </c>
      <c r="W9" s="1">
        <f t="shared" si="5"/>
        <v>3460.1848192272228</v>
      </c>
      <c r="Y9">
        <f>W9/W12</f>
        <v>0.9139032097601502</v>
      </c>
      <c r="Z9" s="1">
        <f>101+1000*LOG10($AA$2)-1000*LOG10(2)</f>
        <v>754.2125137753435</v>
      </c>
      <c r="AA9" s="7" t="s">
        <v>621</v>
      </c>
    </row>
    <row r="10" spans="2:26" ht="12.75">
      <c r="B10">
        <v>3</v>
      </c>
      <c r="C10">
        <v>1</v>
      </c>
      <c r="D10" s="2">
        <f ca="1" t="shared" si="0"/>
        <v>44742.543723842595</v>
      </c>
      <c r="E10" s="2">
        <f t="shared" si="1"/>
        <v>44742.543723842595</v>
      </c>
      <c r="F10">
        <f t="shared" si="2"/>
        <v>44742.543723842595</v>
      </c>
      <c r="H10" t="s">
        <v>654</v>
      </c>
      <c r="I10" t="s">
        <v>655</v>
      </c>
      <c r="K10" t="s">
        <v>656</v>
      </c>
      <c r="L10">
        <v>19</v>
      </c>
      <c r="M10" s="4">
        <v>45</v>
      </c>
      <c r="N10" s="18">
        <f aca="true" t="shared" si="6" ref="N10:N16">IF(O10&lt;0,2000-O10,IF(O10&gt;0,1960-O10,"2000"))</f>
        <v>1945</v>
      </c>
      <c r="O10" s="19">
        <v>15</v>
      </c>
      <c r="P10" t="s">
        <v>680</v>
      </c>
      <c r="Q10">
        <f>Factor!F177</f>
        <v>101.1</v>
      </c>
      <c r="R10" s="13">
        <v>99.1</v>
      </c>
      <c r="S10">
        <f t="shared" si="3"/>
        <v>0</v>
      </c>
      <c r="T10">
        <v>46</v>
      </c>
      <c r="U10">
        <v>17</v>
      </c>
      <c r="V10">
        <f t="shared" si="4"/>
        <v>3677</v>
      </c>
      <c r="W10" s="1">
        <f t="shared" si="5"/>
        <v>3710.3935418768924</v>
      </c>
      <c r="Y10">
        <f>W10/W12</f>
        <v>0.9799882793983058</v>
      </c>
      <c r="Z10" s="1">
        <f>101+1000*LOG10($AA$2)-1000*LOG10(3)</f>
        <v>578.1212547196624</v>
      </c>
    </row>
    <row r="11" spans="2:27" ht="15.75">
      <c r="B11">
        <v>4</v>
      </c>
      <c r="C11">
        <v>1</v>
      </c>
      <c r="D11" s="2">
        <f ca="1" t="shared" si="0"/>
        <v>44742.543723842595</v>
      </c>
      <c r="E11" s="2">
        <f t="shared" si="1"/>
        <v>44742.543723842595</v>
      </c>
      <c r="F11">
        <f t="shared" si="2"/>
        <v>44742.543723842595</v>
      </c>
      <c r="H11" t="s">
        <v>484</v>
      </c>
      <c r="I11" t="s">
        <v>482</v>
      </c>
      <c r="K11" t="s">
        <v>471</v>
      </c>
      <c r="L11">
        <v>19</v>
      </c>
      <c r="M11" s="4">
        <v>45</v>
      </c>
      <c r="N11" s="18">
        <f t="shared" si="6"/>
        <v>1945</v>
      </c>
      <c r="O11" s="19">
        <v>15</v>
      </c>
      <c r="P11" t="s">
        <v>681</v>
      </c>
      <c r="Q11">
        <f>Factor!F128</f>
        <v>100.7</v>
      </c>
      <c r="R11">
        <f>Factor!G128</f>
        <v>98.2</v>
      </c>
      <c r="S11">
        <f t="shared" si="3"/>
        <v>0</v>
      </c>
      <c r="T11">
        <v>47</v>
      </c>
      <c r="U11">
        <v>30</v>
      </c>
      <c r="V11">
        <f t="shared" si="4"/>
        <v>3750</v>
      </c>
      <c r="W11" s="1">
        <f t="shared" si="5"/>
        <v>3723.932472691162</v>
      </c>
      <c r="Y11">
        <f>W11/W12</f>
        <v>0.9835641786563821</v>
      </c>
      <c r="Z11" s="1">
        <f>101+1000*LOG10($AA$2)-1000*LOG10(4)</f>
        <v>453.18251811136236</v>
      </c>
      <c r="AA11" s="8" t="s">
        <v>26</v>
      </c>
    </row>
    <row r="12" spans="2:27" ht="15.75">
      <c r="B12">
        <v>5</v>
      </c>
      <c r="C12">
        <v>1</v>
      </c>
      <c r="D12" s="2">
        <f ca="1" t="shared" si="0"/>
        <v>44742.543723842595</v>
      </c>
      <c r="E12" s="2">
        <f t="shared" si="1"/>
        <v>44742.543723842595</v>
      </c>
      <c r="F12">
        <f t="shared" si="2"/>
        <v>44742.543723842595</v>
      </c>
      <c r="H12" t="s">
        <v>76</v>
      </c>
      <c r="I12" t="s">
        <v>592</v>
      </c>
      <c r="J12" t="s">
        <v>559</v>
      </c>
      <c r="K12" t="s">
        <v>517</v>
      </c>
      <c r="L12">
        <v>19</v>
      </c>
      <c r="M12" s="4">
        <v>45</v>
      </c>
      <c r="N12" s="18">
        <f t="shared" si="6"/>
        <v>1945</v>
      </c>
      <c r="O12" s="19">
        <v>15</v>
      </c>
      <c r="P12" t="s">
        <v>681</v>
      </c>
      <c r="Q12" s="13">
        <f>Factor!F64</f>
        <v>102.21435000000001</v>
      </c>
      <c r="R12" s="13">
        <f>Factor!G64</f>
        <v>99.71435000000001</v>
      </c>
      <c r="S12">
        <f t="shared" si="3"/>
        <v>0</v>
      </c>
      <c r="T12">
        <v>49</v>
      </c>
      <c r="U12">
        <v>30</v>
      </c>
      <c r="V12">
        <f t="shared" si="4"/>
        <v>3870</v>
      </c>
      <c r="W12" s="1">
        <f t="shared" si="5"/>
        <v>3786.1611407791565</v>
      </c>
      <c r="Y12">
        <f>W12/W12</f>
        <v>1</v>
      </c>
      <c r="Z12" s="1">
        <f>101+1000*LOG10($AA$2)-1000*LOG10(5)</f>
        <v>356.2725051033059</v>
      </c>
      <c r="AA12" s="7" t="s">
        <v>590</v>
      </c>
    </row>
    <row r="13" spans="2:27" ht="15.75">
      <c r="B13">
        <v>6</v>
      </c>
      <c r="C13">
        <v>1</v>
      </c>
      <c r="D13" s="2">
        <f ca="1" t="shared" si="0"/>
        <v>44742.543723842595</v>
      </c>
      <c r="E13" s="2">
        <f t="shared" si="1"/>
        <v>44742.543723842595</v>
      </c>
      <c r="F13">
        <f t="shared" si="2"/>
        <v>44742.543723842595</v>
      </c>
      <c r="H13" t="s">
        <v>152</v>
      </c>
      <c r="I13" t="s">
        <v>139</v>
      </c>
      <c r="J13" t="s">
        <v>297</v>
      </c>
      <c r="K13" t="s">
        <v>153</v>
      </c>
      <c r="L13">
        <v>19</v>
      </c>
      <c r="M13" s="4">
        <v>45</v>
      </c>
      <c r="N13" s="18">
        <f t="shared" si="6"/>
        <v>1945</v>
      </c>
      <c r="O13" s="19">
        <v>15</v>
      </c>
      <c r="P13" t="s">
        <v>681</v>
      </c>
      <c r="Q13" s="13">
        <f>Factor!F47</f>
        <v>96.285</v>
      </c>
      <c r="R13" s="13">
        <f>Factor!G47</f>
        <v>93.785</v>
      </c>
      <c r="S13">
        <f t="shared" si="3"/>
        <v>0</v>
      </c>
      <c r="T13">
        <v>46</v>
      </c>
      <c r="U13">
        <v>17</v>
      </c>
      <c r="V13">
        <f t="shared" si="4"/>
        <v>3677</v>
      </c>
      <c r="W13" s="1">
        <f t="shared" si="5"/>
        <v>3818.8710598743314</v>
      </c>
      <c r="Z13" s="1">
        <f>101+1000*LOG10($AA$2)-1000*LOG10(6)</f>
        <v>277.0912590556811</v>
      </c>
      <c r="AA13" s="8" t="s">
        <v>30</v>
      </c>
    </row>
    <row r="14" spans="2:27" ht="15.75">
      <c r="B14">
        <v>7</v>
      </c>
      <c r="C14">
        <v>1</v>
      </c>
      <c r="D14" s="2">
        <f ca="1" t="shared" si="0"/>
        <v>44742.543723842595</v>
      </c>
      <c r="E14" s="2">
        <f t="shared" si="1"/>
        <v>44742.543723842595</v>
      </c>
      <c r="F14">
        <f t="shared" si="2"/>
        <v>44742.543723842595</v>
      </c>
      <c r="H14" s="25" t="s">
        <v>57</v>
      </c>
      <c r="I14" s="25" t="s">
        <v>673</v>
      </c>
      <c r="L14">
        <v>19</v>
      </c>
      <c r="M14" s="4">
        <v>45</v>
      </c>
      <c r="N14" s="18">
        <f t="shared" si="6"/>
        <v>1945</v>
      </c>
      <c r="O14" s="19">
        <v>15</v>
      </c>
      <c r="P14" t="s">
        <v>680</v>
      </c>
      <c r="Q14">
        <f>Factor!F182</f>
        <v>83</v>
      </c>
      <c r="R14" s="13">
        <f>Factor!G182</f>
        <v>80.5</v>
      </c>
      <c r="S14">
        <f t="shared" si="3"/>
        <v>0</v>
      </c>
      <c r="T14">
        <v>38</v>
      </c>
      <c r="U14">
        <v>10</v>
      </c>
      <c r="V14">
        <f t="shared" si="4"/>
        <v>3190</v>
      </c>
      <c r="W14" s="1">
        <f t="shared" si="5"/>
        <v>3962.7329192546586</v>
      </c>
      <c r="Z14" s="1">
        <f>101+1000*LOG10($AA$2)-1000*LOG10(7)</f>
        <v>210.14446942506788</v>
      </c>
      <c r="AA14" s="7" t="s">
        <v>618</v>
      </c>
    </row>
    <row r="15" spans="2:26" ht="12.75">
      <c r="B15">
        <v>8</v>
      </c>
      <c r="C15">
        <v>1</v>
      </c>
      <c r="D15" s="2">
        <f ca="1" t="shared" si="0"/>
        <v>44742.543723842595</v>
      </c>
      <c r="E15" s="2">
        <f t="shared" si="1"/>
        <v>44742.543723842595</v>
      </c>
      <c r="F15">
        <f t="shared" si="2"/>
        <v>44742.543723842595</v>
      </c>
      <c r="H15" s="25" t="s">
        <v>670</v>
      </c>
      <c r="I15" s="25" t="s">
        <v>672</v>
      </c>
      <c r="K15" s="25" t="s">
        <v>674</v>
      </c>
      <c r="L15">
        <v>19</v>
      </c>
      <c r="M15" s="4">
        <v>45</v>
      </c>
      <c r="N15" s="18">
        <f t="shared" si="6"/>
        <v>1945</v>
      </c>
      <c r="O15" s="19">
        <v>15</v>
      </c>
      <c r="P15" t="s">
        <v>681</v>
      </c>
      <c r="Q15">
        <f>Factor!F181</f>
        <v>90</v>
      </c>
      <c r="R15" s="13">
        <f>Factor!G181</f>
        <v>87.5</v>
      </c>
      <c r="S15">
        <f t="shared" si="3"/>
        <v>0</v>
      </c>
      <c r="T15">
        <v>49</v>
      </c>
      <c r="U15">
        <v>30</v>
      </c>
      <c r="V15">
        <f t="shared" si="4"/>
        <v>3870</v>
      </c>
      <c r="W15" s="1">
        <f t="shared" si="5"/>
        <v>4300</v>
      </c>
      <c r="Z15" s="1">
        <f>101+1000*LOG10($AA$2)-1000*LOG10(8)</f>
        <v>152.15252244738122</v>
      </c>
    </row>
    <row r="16" spans="2:27" ht="15.75">
      <c r="B16">
        <v>9</v>
      </c>
      <c r="D16" s="2"/>
      <c r="E16" s="2"/>
      <c r="H16" s="25" t="s">
        <v>675</v>
      </c>
      <c r="I16" s="25" t="s">
        <v>676</v>
      </c>
      <c r="K16" t="s">
        <v>677</v>
      </c>
      <c r="L16">
        <v>19</v>
      </c>
      <c r="M16" s="4">
        <v>45</v>
      </c>
      <c r="N16" s="18">
        <f t="shared" si="6"/>
        <v>1945</v>
      </c>
      <c r="O16" s="19">
        <v>15</v>
      </c>
      <c r="P16" t="s">
        <v>681</v>
      </c>
      <c r="Q16">
        <f>Factor!F183</f>
        <v>116</v>
      </c>
      <c r="R16" s="13">
        <f>Factor!G183</f>
        <v>113.5</v>
      </c>
      <c r="S16">
        <v>1</v>
      </c>
      <c r="T16">
        <v>13</v>
      </c>
      <c r="U16">
        <v>48</v>
      </c>
      <c r="V16">
        <f t="shared" si="4"/>
        <v>5328</v>
      </c>
      <c r="W16" s="1">
        <f t="shared" si="5"/>
        <v>4593.103448275862</v>
      </c>
      <c r="Z16" s="1">
        <f>101+1000*LOG10($AA$2)-1000*LOG10(9)</f>
        <v>100.99999999999989</v>
      </c>
      <c r="AA16" s="8"/>
    </row>
    <row r="17" spans="4:27" ht="15.75">
      <c r="D17" s="2"/>
      <c r="E17" s="2"/>
      <c r="R17" s="13"/>
      <c r="W17" s="1"/>
      <c r="Z17" s="1"/>
      <c r="AA17" s="7" t="s">
        <v>619</v>
      </c>
    </row>
    <row r="18" spans="4:26" ht="12.75">
      <c r="D18" s="2"/>
      <c r="E18" s="2"/>
      <c r="R18" s="13"/>
      <c r="W18" s="1"/>
      <c r="Z18" s="1"/>
    </row>
    <row r="19" spans="4:27" ht="15.75">
      <c r="D19" s="2"/>
      <c r="E19" s="2"/>
      <c r="Q19" s="13"/>
      <c r="R19" s="13"/>
      <c r="W19" s="1"/>
      <c r="Z19" s="1"/>
      <c r="AA19" s="8"/>
    </row>
    <row r="20" spans="4:27" ht="15.75">
      <c r="D20" s="2"/>
      <c r="E20" s="2"/>
      <c r="Q20" s="13"/>
      <c r="R20" s="13"/>
      <c r="W20" s="1"/>
      <c r="Z20" s="1"/>
      <c r="AA20" s="10"/>
    </row>
    <row r="21" spans="4:26" ht="12.75">
      <c r="D21" s="2"/>
      <c r="E21" s="2"/>
      <c r="R21" s="13"/>
      <c r="W21" s="1"/>
      <c r="Z21" s="1"/>
    </row>
    <row r="22" spans="4:27" ht="15.75">
      <c r="D22" s="2"/>
      <c r="E22" s="2"/>
      <c r="Q22" s="13"/>
      <c r="R22" s="13"/>
      <c r="W22" s="1"/>
      <c r="Z22" s="1"/>
      <c r="AA22" s="8"/>
    </row>
    <row r="23" spans="4:27" ht="15.75">
      <c r="D23" s="2"/>
      <c r="E23" s="2"/>
      <c r="Q23" s="13"/>
      <c r="R23" s="13"/>
      <c r="W23" s="1"/>
      <c r="Z23" s="1"/>
      <c r="AA23" s="9"/>
    </row>
    <row r="24" spans="4:26" ht="12.75">
      <c r="D24" s="2"/>
      <c r="E24" s="2"/>
      <c r="Q24" s="13"/>
      <c r="R24" s="13"/>
      <c r="W24" s="1"/>
      <c r="Z24" s="1"/>
    </row>
    <row r="25" spans="4:27" ht="15.75">
      <c r="D25" s="2"/>
      <c r="E25" s="2"/>
      <c r="R25" s="13"/>
      <c r="W25" s="1"/>
      <c r="Z25" s="1"/>
      <c r="AA25" s="7"/>
    </row>
    <row r="26" spans="4:27" ht="15.75">
      <c r="D26" s="2"/>
      <c r="E26" s="2"/>
      <c r="Q26" s="13"/>
      <c r="R26" s="13"/>
      <c r="W26" s="1"/>
      <c r="Z26" s="1"/>
      <c r="AA26" s="7"/>
    </row>
    <row r="27" spans="4:26" ht="12.75">
      <c r="D27" s="2"/>
      <c r="E27" s="2"/>
      <c r="Q27" s="13"/>
      <c r="R27" s="13"/>
      <c r="W27" s="1"/>
      <c r="Z27" s="1"/>
    </row>
    <row r="28" spans="4:27" ht="15.75">
      <c r="D28" s="2"/>
      <c r="E28" s="2"/>
      <c r="R28" s="13"/>
      <c r="W28" s="1"/>
      <c r="Z28" s="1"/>
      <c r="AA28" s="8"/>
    </row>
    <row r="29" spans="4:27" ht="15.75">
      <c r="D29" s="2"/>
      <c r="E29" s="2"/>
      <c r="Q29" s="13"/>
      <c r="R29" s="13"/>
      <c r="W29" s="1"/>
      <c r="Z29" s="1"/>
      <c r="AA29" s="9"/>
    </row>
    <row r="30" spans="4:26" ht="12.75">
      <c r="D30" s="2"/>
      <c r="E30" s="2"/>
      <c r="R30" s="13"/>
      <c r="W30" s="1"/>
      <c r="Z30" s="1"/>
    </row>
    <row r="31" spans="4:26" ht="12.75">
      <c r="D31" s="2"/>
      <c r="E31" s="2"/>
      <c r="Q31" s="13"/>
      <c r="R31" s="13"/>
      <c r="W31" s="1"/>
      <c r="Z31" s="1"/>
    </row>
    <row r="32" spans="4:26" ht="12.75">
      <c r="D32" s="2"/>
      <c r="E32" s="2"/>
      <c r="Q32" s="13"/>
      <c r="R32" s="13"/>
      <c r="W32" s="1"/>
      <c r="Z32" s="1"/>
    </row>
    <row r="33" spans="4:26" ht="12.75">
      <c r="D33" s="2"/>
      <c r="E33" s="2"/>
      <c r="R33" s="13"/>
      <c r="W33" s="1"/>
      <c r="Z33" s="1"/>
    </row>
    <row r="34" spans="4:26" ht="12.75">
      <c r="D34" s="2"/>
      <c r="E34" s="2"/>
      <c r="R34" s="13"/>
      <c r="W34" s="1"/>
      <c r="Z34" s="1"/>
    </row>
    <row r="35" spans="4:26" ht="12.75">
      <c r="D35" s="2"/>
      <c r="E35" s="2"/>
      <c r="Q35" s="13"/>
      <c r="R35" s="13"/>
      <c r="W35" s="1"/>
      <c r="Z35" s="1"/>
    </row>
    <row r="36" spans="4:26" ht="12.75">
      <c r="D36" s="2"/>
      <c r="E36" s="2"/>
      <c r="Q36" s="13"/>
      <c r="R36" s="13"/>
      <c r="W36" s="1"/>
      <c r="Z36" s="1"/>
    </row>
    <row r="37" spans="4:26" ht="12.75">
      <c r="D37" s="2"/>
      <c r="E37" s="2"/>
      <c r="R37" s="13"/>
      <c r="W37" s="1"/>
      <c r="Z37" s="1"/>
    </row>
    <row r="38" spans="4:26" ht="12.75">
      <c r="D38" s="2"/>
      <c r="E38" s="2"/>
      <c r="Q38" s="13"/>
      <c r="R38" s="13"/>
      <c r="W38" s="1"/>
      <c r="Z38" s="1"/>
    </row>
    <row r="39" spans="4:26" ht="12.75">
      <c r="D39" s="2"/>
      <c r="E39" s="2"/>
      <c r="Q39" s="13"/>
      <c r="R39" s="13"/>
      <c r="W39" s="1"/>
      <c r="Z39" s="1"/>
    </row>
    <row r="40" spans="4:26" ht="12.75">
      <c r="D40" s="2"/>
      <c r="E40" s="2"/>
      <c r="Q40" s="13"/>
      <c r="R40" s="13"/>
      <c r="W40" s="1"/>
      <c r="Z40" s="1"/>
    </row>
    <row r="41" spans="4:31" ht="12.75">
      <c r="D41" s="2"/>
      <c r="E41" s="2"/>
      <c r="R41" s="13"/>
      <c r="W41" s="1"/>
      <c r="Z41" s="1"/>
      <c r="AE41" s="1"/>
    </row>
    <row r="42" spans="4:26" ht="12.75">
      <c r="D42" s="2"/>
      <c r="E42" s="2"/>
      <c r="R42" s="13"/>
      <c r="W42" s="1"/>
      <c r="Z42" s="1"/>
    </row>
    <row r="43" spans="4:26" ht="12.75">
      <c r="D43" s="2"/>
      <c r="E43" s="2"/>
      <c r="H43" s="25"/>
      <c r="I43" s="25"/>
      <c r="J43" s="25"/>
      <c r="K43" s="25"/>
      <c r="R43" s="13"/>
      <c r="W43" s="1"/>
      <c r="Z43" s="1"/>
    </row>
    <row r="44" spans="4:26" ht="12.75">
      <c r="D44" s="2"/>
      <c r="E44" s="2"/>
      <c r="Q44" s="13"/>
      <c r="R44" s="13"/>
      <c r="W44" s="1"/>
      <c r="Z44" s="1"/>
    </row>
    <row r="45" spans="4:26" ht="12.75">
      <c r="D45" s="2"/>
      <c r="E45" s="2"/>
      <c r="R45" s="13"/>
      <c r="W45" s="1"/>
      <c r="Z45" s="1"/>
    </row>
    <row r="46" spans="4:26" ht="12.75">
      <c r="D46" s="2"/>
      <c r="E46" s="2"/>
      <c r="R46" s="13"/>
      <c r="W46" s="1"/>
      <c r="Z46" s="1"/>
    </row>
    <row r="47" spans="4:26" ht="12.75">
      <c r="D47" s="2"/>
      <c r="E47" s="2"/>
      <c r="M47" s="27"/>
      <c r="N47" s="20"/>
      <c r="O47" s="20"/>
      <c r="P47" s="13"/>
      <c r="Q47" s="13"/>
      <c r="R47" s="13"/>
      <c r="W47" s="1"/>
      <c r="Z47" s="1"/>
    </row>
    <row r="48" spans="4:26" ht="12.75">
      <c r="D48" s="2"/>
      <c r="E48" s="2"/>
      <c r="Q48" s="13"/>
      <c r="R48" s="13"/>
      <c r="W48" s="1"/>
      <c r="Z48" s="1"/>
    </row>
    <row r="49" spans="4:26" ht="12.75">
      <c r="D49" s="2"/>
      <c r="E49" s="2"/>
      <c r="R49" s="13"/>
      <c r="W49" s="1"/>
      <c r="Z49" s="1"/>
    </row>
    <row r="50" spans="4:26" ht="12.75">
      <c r="D50" s="2"/>
      <c r="E50" s="2"/>
      <c r="R50" s="13"/>
      <c r="W50" s="1"/>
      <c r="Z50" s="1"/>
    </row>
    <row r="51" spans="4:26" ht="12.75">
      <c r="D51" s="2"/>
      <c r="E51" s="2"/>
      <c r="Q51" s="13"/>
      <c r="R51" s="13"/>
      <c r="W51" s="1"/>
      <c r="Z51" s="1"/>
    </row>
    <row r="52" spans="4:26" ht="12.75">
      <c r="D52" s="2"/>
      <c r="E52" s="2"/>
      <c r="Q52" s="13"/>
      <c r="R52" s="13"/>
      <c r="W52" s="1"/>
      <c r="Z52" s="1"/>
    </row>
    <row r="53" spans="4:26" ht="12.75">
      <c r="D53" s="2"/>
      <c r="E53" s="2"/>
      <c r="R53" s="13"/>
      <c r="W53" s="1"/>
      <c r="Z53" s="1"/>
    </row>
    <row r="54" spans="4:26" ht="12.75">
      <c r="D54" s="2"/>
      <c r="E54" s="2"/>
      <c r="Q54" s="13"/>
      <c r="R54" s="13"/>
      <c r="W54" s="1"/>
      <c r="Z54" s="1"/>
    </row>
    <row r="55" spans="4:26" ht="12.75">
      <c r="D55" s="2"/>
      <c r="E55" s="2"/>
      <c r="R55" s="13"/>
      <c r="W55" s="1"/>
      <c r="Z55" s="1"/>
    </row>
    <row r="56" spans="4:26" ht="12.75">
      <c r="D56" s="2"/>
      <c r="E56" s="2"/>
      <c r="Q56" s="13"/>
      <c r="R56" s="13"/>
      <c r="W56" s="1"/>
      <c r="Z56" s="1"/>
    </row>
    <row r="57" spans="4:26" ht="12.75">
      <c r="D57" s="2"/>
      <c r="E57" s="2"/>
      <c r="Q57" s="13"/>
      <c r="R57" s="13"/>
      <c r="W57" s="1"/>
      <c r="Z57" s="1"/>
    </row>
    <row r="58" spans="17:26" ht="12.75">
      <c r="Q58" s="13"/>
      <c r="R58" s="13"/>
      <c r="W58" s="1"/>
      <c r="Z58" s="1"/>
    </row>
    <row r="59" spans="18:26" ht="12.75">
      <c r="R59" s="13"/>
      <c r="W59" s="1"/>
      <c r="Z59" s="1"/>
    </row>
    <row r="60" spans="18:26" ht="12.75">
      <c r="R60" s="13"/>
      <c r="W60" s="1"/>
      <c r="Z60" s="1"/>
    </row>
    <row r="61" spans="17:26" ht="12.75">
      <c r="Q61" s="13"/>
      <c r="R61" s="13"/>
      <c r="W61" s="1"/>
      <c r="Z61" s="1"/>
    </row>
    <row r="62" spans="18:23" ht="12.75">
      <c r="R62" s="13"/>
      <c r="W62" s="1"/>
    </row>
    <row r="63" spans="18:23" ht="12.75">
      <c r="R63" s="13"/>
      <c r="W63" s="1"/>
    </row>
    <row r="64" spans="17:23" ht="12.75">
      <c r="Q64" s="13"/>
      <c r="R64" s="13"/>
      <c r="W64" s="1"/>
    </row>
    <row r="65" spans="17:23" ht="12.75">
      <c r="Q65" s="13"/>
      <c r="R65" s="13"/>
      <c r="W65" s="1"/>
    </row>
    <row r="66" spans="17:23" ht="12.75">
      <c r="Q66" s="13"/>
      <c r="R66" s="13"/>
      <c r="W66" s="1"/>
    </row>
    <row r="67" spans="17:23" ht="12.75">
      <c r="Q67" s="13"/>
      <c r="R67" s="13"/>
      <c r="W67" s="1"/>
    </row>
    <row r="68" spans="17:23" ht="12.75">
      <c r="Q68" s="13"/>
      <c r="R68" s="13"/>
      <c r="W68" s="1"/>
    </row>
    <row r="69" spans="17:23" ht="12.75">
      <c r="Q69" s="13"/>
      <c r="R69" s="13"/>
      <c r="W69" s="1"/>
    </row>
    <row r="70" spans="17:23" ht="12.75">
      <c r="Q70" s="13"/>
      <c r="R70" s="13"/>
      <c r="W70" s="1"/>
    </row>
    <row r="71" spans="18:23" ht="12.75">
      <c r="R71" s="13"/>
      <c r="W71" s="1"/>
    </row>
    <row r="72" spans="17:23" ht="12.75">
      <c r="Q72" s="13"/>
      <c r="R72" s="13"/>
      <c r="W72" s="1"/>
    </row>
    <row r="73" spans="17:23" ht="12.75">
      <c r="Q73" s="13"/>
      <c r="R73" s="13"/>
      <c r="W73" s="1"/>
    </row>
    <row r="74" spans="17:23" ht="12.75">
      <c r="Q74" s="13"/>
      <c r="R74" s="13"/>
      <c r="W74" s="1"/>
    </row>
    <row r="75" spans="17:23" ht="12.75">
      <c r="Q75" s="13"/>
      <c r="R75" s="13"/>
      <c r="W75" s="1"/>
    </row>
    <row r="76" spans="18:23" ht="12.75">
      <c r="R76" s="13"/>
      <c r="W76" s="1"/>
    </row>
    <row r="77" spans="17:23" ht="12.75">
      <c r="Q77" s="13"/>
      <c r="R77" s="13"/>
      <c r="W77" s="1"/>
    </row>
    <row r="78" spans="8:23" ht="12.75">
      <c r="H78" s="25"/>
      <c r="I78" s="25"/>
      <c r="J78" s="25"/>
      <c r="K78" s="25"/>
      <c r="R78" s="13"/>
      <c r="W78" s="1"/>
    </row>
    <row r="79" spans="18:23" ht="12.75">
      <c r="R79" s="13"/>
      <c r="W79" s="1"/>
    </row>
    <row r="80" spans="18:23" ht="12.75">
      <c r="R80" s="13"/>
      <c r="W80" s="1"/>
    </row>
    <row r="81" spans="17:23" ht="12.75">
      <c r="Q81" s="13"/>
      <c r="R81" s="13"/>
      <c r="W81" s="1"/>
    </row>
    <row r="82" spans="17:23" ht="12.75">
      <c r="Q82" s="13"/>
      <c r="R82" s="13"/>
      <c r="W82" s="1"/>
    </row>
    <row r="83" spans="18:23" ht="12.75">
      <c r="R83" s="13"/>
      <c r="W83" s="1"/>
    </row>
    <row r="84" spans="17:23" ht="12.75">
      <c r="Q84" s="13"/>
      <c r="R84" s="13"/>
      <c r="W84" s="1"/>
    </row>
    <row r="85" spans="17:23" ht="12.75">
      <c r="Q85" s="13"/>
      <c r="R85" s="13"/>
      <c r="W85" s="1"/>
    </row>
    <row r="86" spans="17:23" ht="12.75">
      <c r="Q86" s="13"/>
      <c r="R86" s="13"/>
      <c r="W86" s="1"/>
    </row>
    <row r="87" spans="18:23" ht="12.75">
      <c r="R87" s="13"/>
      <c r="W87" s="1"/>
    </row>
    <row r="88" spans="18:23" ht="12.75">
      <c r="R88" s="13"/>
      <c r="W88" s="1"/>
    </row>
    <row r="89" spans="18:23" ht="12.75">
      <c r="R89" s="13"/>
      <c r="W89" s="1"/>
    </row>
    <row r="90" spans="18:23" ht="12.75">
      <c r="R90" s="13"/>
      <c r="W90" s="1"/>
    </row>
    <row r="91" spans="18:23" ht="12.75">
      <c r="R91" s="13"/>
      <c r="W91" s="1"/>
    </row>
    <row r="92" spans="18:23" ht="12.75">
      <c r="R92" s="13"/>
      <c r="W92" s="1"/>
    </row>
    <row r="93" spans="18:23" ht="12.75">
      <c r="R93" s="13"/>
      <c r="W93" s="1"/>
    </row>
    <row r="94" spans="17:23" ht="12.75">
      <c r="Q94" s="13"/>
      <c r="R94" s="13"/>
      <c r="W94" s="1"/>
    </row>
    <row r="95" spans="17:23" ht="12.75">
      <c r="Q95" s="13"/>
      <c r="R95" s="13"/>
      <c r="W95" s="1"/>
    </row>
    <row r="96" spans="17:23" ht="12.75">
      <c r="Q96" s="13"/>
      <c r="R96" s="13"/>
      <c r="W96" s="1"/>
    </row>
    <row r="97" spans="17:23" ht="12.75">
      <c r="Q97" s="13"/>
      <c r="R97" s="13"/>
      <c r="W97" s="1"/>
    </row>
    <row r="98" spans="18:23" ht="12.75">
      <c r="R98" s="13"/>
      <c r="W98" s="1"/>
    </row>
    <row r="99" spans="17:23" ht="12.75">
      <c r="Q99" s="13"/>
      <c r="R99" s="13"/>
      <c r="W99" s="1"/>
    </row>
    <row r="100" spans="18:23" ht="12.75">
      <c r="R100" s="13"/>
      <c r="W100" s="1"/>
    </row>
    <row r="101" spans="17:23" ht="12.75">
      <c r="Q101" s="13"/>
      <c r="R101" s="13"/>
      <c r="W101" s="1"/>
    </row>
    <row r="102" spans="18:23" ht="12.75">
      <c r="R102" s="13"/>
      <c r="W102" s="1"/>
    </row>
    <row r="103" spans="18:23" ht="12.75">
      <c r="R103" s="13"/>
      <c r="W103" s="1"/>
    </row>
    <row r="104" spans="17:23" ht="12.75">
      <c r="Q104" s="13"/>
      <c r="R104" s="13"/>
      <c r="W104" s="1"/>
    </row>
    <row r="105" spans="18:23" ht="12.75">
      <c r="R105" s="13"/>
      <c r="W105" s="1"/>
    </row>
    <row r="106" spans="18:23" ht="12.75">
      <c r="R106" s="13"/>
      <c r="W106" s="1"/>
    </row>
    <row r="107" spans="17:23" ht="12.75">
      <c r="Q107" s="13"/>
      <c r="R107" s="13"/>
      <c r="W107" s="1"/>
    </row>
    <row r="108" spans="17:23" ht="12.75">
      <c r="Q108" s="13"/>
      <c r="R108" s="13"/>
      <c r="W108" s="1"/>
    </row>
    <row r="109" spans="17:23" ht="12.75">
      <c r="Q109" s="13"/>
      <c r="R109" s="13"/>
      <c r="W109" s="1"/>
    </row>
    <row r="110" spans="17:23" ht="12.75">
      <c r="Q110" s="13"/>
      <c r="R110" s="13"/>
      <c r="W110" s="1"/>
    </row>
    <row r="111" spans="17:23" ht="12.75">
      <c r="Q111" s="13"/>
      <c r="R111" s="13"/>
      <c r="W111" s="1"/>
    </row>
    <row r="112" spans="17:23" ht="12.75">
      <c r="Q112" s="13"/>
      <c r="R112" s="13"/>
      <c r="W112" s="1"/>
    </row>
    <row r="113" spans="8:23" ht="12.75">
      <c r="H113" s="25"/>
      <c r="I113" s="25"/>
      <c r="K113" s="25"/>
      <c r="R113" s="13"/>
      <c r="W113" s="1"/>
    </row>
    <row r="114" spans="18:23" ht="12.75">
      <c r="R114" s="13"/>
      <c r="W114" s="1"/>
    </row>
    <row r="115" spans="18:23" ht="12.75">
      <c r="R115" s="13"/>
      <c r="W115" s="1"/>
    </row>
    <row r="116" spans="17:23" ht="12.75">
      <c r="Q116" s="13"/>
      <c r="R116" s="13"/>
      <c r="W116" s="1"/>
    </row>
    <row r="117" spans="17:23" ht="12.75">
      <c r="Q117" s="13"/>
      <c r="R117" s="13"/>
      <c r="W117" s="1"/>
    </row>
    <row r="118" ht="12.75">
      <c r="W118" s="1"/>
    </row>
    <row r="119" spans="17:23" ht="12.75">
      <c r="Q119" s="13"/>
      <c r="R119" s="13"/>
      <c r="W119" s="1"/>
    </row>
    <row r="120" spans="17:23" ht="12.75">
      <c r="Q120" s="13"/>
      <c r="R120" s="13"/>
      <c r="W120" s="1"/>
    </row>
    <row r="121" spans="18:23" ht="12.75">
      <c r="R121" s="13"/>
      <c r="W121" s="1"/>
    </row>
    <row r="122" spans="18:23" ht="12.75">
      <c r="R122" s="13"/>
      <c r="W122" s="1"/>
    </row>
    <row r="123" spans="17:23" ht="12.75">
      <c r="Q123" s="13"/>
      <c r="R123" s="13"/>
      <c r="W123" s="1"/>
    </row>
    <row r="124" spans="18:23" ht="12.75">
      <c r="R124" s="13"/>
      <c r="W124" s="1"/>
    </row>
    <row r="125" spans="18:23" ht="12.75">
      <c r="R125" s="13"/>
      <c r="W125" s="1"/>
    </row>
    <row r="126" spans="18:23" ht="12.75">
      <c r="R126" s="13"/>
      <c r="W126" s="1"/>
    </row>
    <row r="127" spans="17:23" ht="12.75">
      <c r="Q127" s="13"/>
      <c r="R127" s="13"/>
      <c r="W127" s="1"/>
    </row>
    <row r="128" spans="17:23" ht="12.75">
      <c r="Q128" s="13"/>
      <c r="R128" s="13"/>
      <c r="W128" s="1"/>
    </row>
    <row r="129" spans="18:23" ht="12.75">
      <c r="R129" s="13"/>
      <c r="W129" s="1"/>
    </row>
    <row r="130" spans="18:23" ht="12.75">
      <c r="R130" s="13"/>
      <c r="W130" s="1"/>
    </row>
    <row r="131" spans="17:23" ht="12.75">
      <c r="Q131" s="13"/>
      <c r="R131" s="13"/>
      <c r="W131" s="1"/>
    </row>
    <row r="132" spans="17:23" ht="12.75">
      <c r="Q132" s="13"/>
      <c r="R132" s="13"/>
      <c r="W132" s="1"/>
    </row>
    <row r="133" spans="18:23" ht="12.75">
      <c r="R133" s="13"/>
      <c r="W133" s="1"/>
    </row>
    <row r="134" spans="18:23" ht="12.75">
      <c r="R134" s="13"/>
      <c r="W134" s="1"/>
    </row>
    <row r="135" spans="18:23" ht="12.75">
      <c r="R135" s="13"/>
      <c r="W135" s="1"/>
    </row>
    <row r="136" spans="17:23" ht="12.75">
      <c r="Q136" s="13"/>
      <c r="R136" s="13"/>
      <c r="W136" s="1"/>
    </row>
    <row r="137" spans="17:23" ht="12.75">
      <c r="Q137" s="13"/>
      <c r="R137" s="13"/>
      <c r="W137" s="1"/>
    </row>
    <row r="138" spans="18:23" ht="12.75">
      <c r="R138" s="13"/>
      <c r="W138" s="1"/>
    </row>
    <row r="139" spans="17:23" ht="12.75">
      <c r="Q139" s="13"/>
      <c r="R139" s="13"/>
      <c r="W139" s="1"/>
    </row>
    <row r="140" spans="17:23" ht="12.75">
      <c r="Q140" s="13"/>
      <c r="R140" s="13"/>
      <c r="W140" s="1"/>
    </row>
    <row r="141" spans="18:23" ht="12.75">
      <c r="R141" s="13"/>
      <c r="W141" s="1"/>
    </row>
    <row r="142" spans="17:23" ht="12.75">
      <c r="Q142" s="13"/>
      <c r="R142" s="13"/>
      <c r="W142" s="1"/>
    </row>
    <row r="143" spans="18:23" ht="12.75">
      <c r="R143" s="13"/>
      <c r="W143" s="1"/>
    </row>
    <row r="144" spans="18:23" ht="12.75">
      <c r="R144" s="13"/>
      <c r="W144" s="1"/>
    </row>
    <row r="145" spans="18:23" ht="12.75">
      <c r="R145" s="13"/>
      <c r="W145" s="1"/>
    </row>
    <row r="147" ht="12.75">
      <c r="Z147" t="s">
        <v>678</v>
      </c>
    </row>
  </sheetData>
  <sheetProtection/>
  <printOptions/>
  <pageMargins left="0.45" right="0.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95"/>
  <sheetViews>
    <sheetView zoomScalePageLayoutView="0" workbookViewId="0" topLeftCell="A13">
      <selection activeCell="H101" sqref="H101"/>
    </sheetView>
  </sheetViews>
  <sheetFormatPr defaultColWidth="9.140625" defaultRowHeight="12.75"/>
  <cols>
    <col min="2" max="2" width="12.57421875" style="0" customWidth="1"/>
    <col min="4" max="4" width="14.8515625" style="0" customWidth="1"/>
    <col min="5" max="5" width="16.421875" style="0" customWidth="1"/>
    <col min="6" max="6" width="15.28125" style="0" customWidth="1"/>
    <col min="7" max="7" width="11.421875" style="0" customWidth="1"/>
    <col min="12" max="12" width="12.7109375" style="0" customWidth="1"/>
    <col min="13" max="13" width="3.57421875" style="0" customWidth="1"/>
    <col min="14" max="14" width="4.28125" style="1" customWidth="1"/>
    <col min="15" max="15" width="4.8515625" style="0" customWidth="1"/>
  </cols>
  <sheetData>
    <row r="1" ht="23.25">
      <c r="B1" s="15" t="s">
        <v>343</v>
      </c>
    </row>
    <row r="2" spans="9:13" ht="12.75">
      <c r="I2" t="s">
        <v>198</v>
      </c>
      <c r="L2" t="s">
        <v>7</v>
      </c>
      <c r="M2" s="16"/>
    </row>
    <row r="3" spans="2:11" ht="12.75">
      <c r="B3" t="s">
        <v>199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3:12" ht="12.75">
      <c r="C4" t="s">
        <v>210</v>
      </c>
      <c r="D4" s="16" t="s">
        <v>238</v>
      </c>
      <c r="E4" t="s">
        <v>239</v>
      </c>
      <c r="F4" s="16" t="s">
        <v>240</v>
      </c>
      <c r="H4">
        <v>98</v>
      </c>
      <c r="L4" s="1">
        <f>100*(I4*3600+J4*60+K4)/H4</f>
        <v>0</v>
      </c>
    </row>
    <row r="5" spans="3:12" ht="12.75">
      <c r="C5" t="s">
        <v>205</v>
      </c>
      <c r="D5" t="s">
        <v>17</v>
      </c>
      <c r="F5" t="s">
        <v>18</v>
      </c>
      <c r="H5" s="12">
        <v>99</v>
      </c>
      <c r="L5" s="1">
        <f aca="true" t="shared" si="0" ref="L5:L72">100*(I5*3600+J5*60+K5)/H5</f>
        <v>0</v>
      </c>
    </row>
    <row r="6" spans="3:12" ht="12.75">
      <c r="C6" t="s">
        <v>205</v>
      </c>
      <c r="D6" t="s">
        <v>379</v>
      </c>
      <c r="E6" t="s">
        <v>380</v>
      </c>
      <c r="F6" t="s">
        <v>357</v>
      </c>
      <c r="H6">
        <v>100</v>
      </c>
      <c r="L6" s="1">
        <f aca="true" t="shared" si="1" ref="L6:L17">100*(I6*3600+J6*60+K6)/H6</f>
        <v>0</v>
      </c>
    </row>
    <row r="7" spans="3:12" ht="12.75">
      <c r="C7" t="s">
        <v>205</v>
      </c>
      <c r="D7" t="s">
        <v>21</v>
      </c>
      <c r="E7" s="16" t="s">
        <v>23</v>
      </c>
      <c r="F7" t="s">
        <v>22</v>
      </c>
      <c r="H7">
        <v>109</v>
      </c>
      <c r="L7" s="1">
        <f t="shared" si="1"/>
        <v>0</v>
      </c>
    </row>
    <row r="8" spans="3:12" ht="12.75">
      <c r="C8" t="s">
        <v>205</v>
      </c>
      <c r="D8" t="s">
        <v>241</v>
      </c>
      <c r="E8" t="s">
        <v>242</v>
      </c>
      <c r="F8" t="s">
        <v>243</v>
      </c>
      <c r="H8">
        <v>99</v>
      </c>
      <c r="L8" s="1">
        <f t="shared" si="1"/>
        <v>0</v>
      </c>
    </row>
    <row r="9" spans="3:12" ht="12.75">
      <c r="C9" t="s">
        <v>205</v>
      </c>
      <c r="D9" t="s">
        <v>373</v>
      </c>
      <c r="E9" t="s">
        <v>374</v>
      </c>
      <c r="F9" t="s">
        <v>375</v>
      </c>
      <c r="H9" s="12">
        <v>90</v>
      </c>
      <c r="L9" s="1">
        <f t="shared" si="1"/>
        <v>0</v>
      </c>
    </row>
    <row r="10" spans="3:12" ht="12.75">
      <c r="C10" t="s">
        <v>210</v>
      </c>
      <c r="D10" t="s">
        <v>24</v>
      </c>
      <c r="E10" t="s">
        <v>244</v>
      </c>
      <c r="F10" t="s">
        <v>243</v>
      </c>
      <c r="H10" s="12">
        <v>99</v>
      </c>
      <c r="L10" s="1">
        <f t="shared" si="1"/>
        <v>0</v>
      </c>
    </row>
    <row r="11" spans="3:12" ht="12.75">
      <c r="C11" t="s">
        <v>205</v>
      </c>
      <c r="D11" t="s">
        <v>27</v>
      </c>
      <c r="E11" t="s">
        <v>245</v>
      </c>
      <c r="F11" t="s">
        <v>246</v>
      </c>
      <c r="H11">
        <v>98</v>
      </c>
      <c r="L11" s="1">
        <f t="shared" si="1"/>
        <v>0</v>
      </c>
    </row>
    <row r="12" spans="3:12" ht="12.75">
      <c r="C12" t="s">
        <v>205</v>
      </c>
      <c r="D12" t="s">
        <v>31</v>
      </c>
      <c r="E12" t="s">
        <v>33</v>
      </c>
      <c r="F12" t="s">
        <v>206</v>
      </c>
      <c r="H12">
        <v>110</v>
      </c>
      <c r="L12" s="1">
        <f t="shared" si="1"/>
        <v>0</v>
      </c>
    </row>
    <row r="13" spans="3:12" ht="12.75">
      <c r="C13" t="s">
        <v>205</v>
      </c>
      <c r="D13" t="s">
        <v>207</v>
      </c>
      <c r="E13" t="s">
        <v>208</v>
      </c>
      <c r="F13" t="s">
        <v>209</v>
      </c>
      <c r="H13">
        <v>111</v>
      </c>
      <c r="L13">
        <f t="shared" si="1"/>
        <v>0</v>
      </c>
    </row>
    <row r="14" spans="3:12" ht="12.75">
      <c r="C14" t="s">
        <v>205</v>
      </c>
      <c r="D14" t="s">
        <v>34</v>
      </c>
      <c r="E14" t="s">
        <v>36</v>
      </c>
      <c r="F14" s="16" t="s">
        <v>247</v>
      </c>
      <c r="G14" t="s">
        <v>248</v>
      </c>
      <c r="H14">
        <v>93</v>
      </c>
      <c r="L14" s="1">
        <f t="shared" si="1"/>
        <v>0</v>
      </c>
    </row>
    <row r="15" spans="3:12" ht="12.75">
      <c r="C15" t="s">
        <v>210</v>
      </c>
      <c r="D15" t="s">
        <v>211</v>
      </c>
      <c r="E15" t="s">
        <v>212</v>
      </c>
      <c r="F15" s="16" t="s">
        <v>213</v>
      </c>
      <c r="G15" t="s">
        <v>214</v>
      </c>
      <c r="H15">
        <v>106.5</v>
      </c>
      <c r="L15" s="1">
        <f t="shared" si="1"/>
        <v>0</v>
      </c>
    </row>
    <row r="16" spans="3:12" ht="12.75">
      <c r="C16" t="s">
        <v>205</v>
      </c>
      <c r="D16" t="s">
        <v>39</v>
      </c>
      <c r="F16" t="s">
        <v>40</v>
      </c>
      <c r="H16" s="12">
        <v>111</v>
      </c>
      <c r="L16">
        <f t="shared" si="1"/>
        <v>0</v>
      </c>
    </row>
    <row r="17" spans="3:12" ht="12.75">
      <c r="C17" t="s">
        <v>205</v>
      </c>
      <c r="D17" t="s">
        <v>41</v>
      </c>
      <c r="F17" t="s">
        <v>42</v>
      </c>
      <c r="H17" s="12">
        <v>110</v>
      </c>
      <c r="L17">
        <f t="shared" si="1"/>
        <v>0</v>
      </c>
    </row>
    <row r="18" spans="3:12" ht="12.75">
      <c r="C18" t="s">
        <v>205</v>
      </c>
      <c r="D18" t="s">
        <v>43</v>
      </c>
      <c r="F18" t="s">
        <v>44</v>
      </c>
      <c r="H18" s="12">
        <v>98</v>
      </c>
      <c r="L18" s="1">
        <f t="shared" si="0"/>
        <v>0</v>
      </c>
    </row>
    <row r="19" spans="3:12" ht="12.75">
      <c r="C19" t="s">
        <v>210</v>
      </c>
      <c r="D19" t="s">
        <v>249</v>
      </c>
      <c r="E19" t="s">
        <v>250</v>
      </c>
      <c r="F19" t="s">
        <v>251</v>
      </c>
      <c r="G19" t="s">
        <v>252</v>
      </c>
      <c r="H19">
        <v>104.5</v>
      </c>
      <c r="L19" s="1">
        <f>100*(I19*3600+J19*60+K19)/H19</f>
        <v>0</v>
      </c>
    </row>
    <row r="20" spans="3:12" ht="12.75">
      <c r="C20" t="s">
        <v>210</v>
      </c>
      <c r="D20" t="s">
        <v>338</v>
      </c>
      <c r="E20" t="s">
        <v>339</v>
      </c>
      <c r="F20" t="s">
        <v>340</v>
      </c>
      <c r="H20" s="12">
        <v>89</v>
      </c>
      <c r="L20" s="1">
        <f>100*(I20*3600+J20*60+K20)/H20</f>
        <v>0</v>
      </c>
    </row>
    <row r="21" spans="3:12" ht="12.75">
      <c r="C21" t="s">
        <v>205</v>
      </c>
      <c r="D21" t="s">
        <v>253</v>
      </c>
      <c r="E21" t="s">
        <v>254</v>
      </c>
      <c r="F21" s="16" t="s">
        <v>255</v>
      </c>
      <c r="H21" s="12">
        <v>104</v>
      </c>
      <c r="L21" s="1">
        <f aca="true" t="shared" si="2" ref="L21:L29">100*(I21*3600+J21*60+K21)/H21</f>
        <v>0</v>
      </c>
    </row>
    <row r="22" spans="3:12" ht="12.75">
      <c r="C22" t="s">
        <v>205</v>
      </c>
      <c r="D22" t="s">
        <v>256</v>
      </c>
      <c r="E22" t="s">
        <v>257</v>
      </c>
      <c r="F22" t="s">
        <v>258</v>
      </c>
      <c r="H22" s="12">
        <v>76.5</v>
      </c>
      <c r="L22" s="1">
        <f>100*(I22*3600+J22*60+K22)/H22</f>
        <v>0</v>
      </c>
    </row>
    <row r="23" spans="3:16" ht="12.75">
      <c r="C23" t="s">
        <v>205</v>
      </c>
      <c r="D23" s="4" t="s">
        <v>370</v>
      </c>
      <c r="E23" t="s">
        <v>371</v>
      </c>
      <c r="F23" s="4" t="s">
        <v>372</v>
      </c>
      <c r="H23">
        <v>95</v>
      </c>
      <c r="L23" s="1">
        <f>100*(I23*3600+J23*60+K23)/H23</f>
        <v>0</v>
      </c>
      <c r="P23" s="1"/>
    </row>
    <row r="24" spans="3:12" ht="12.75">
      <c r="C24" t="s">
        <v>205</v>
      </c>
      <c r="D24" t="s">
        <v>215</v>
      </c>
      <c r="E24" t="s">
        <v>78</v>
      </c>
      <c r="F24" t="s">
        <v>216</v>
      </c>
      <c r="H24" s="12">
        <v>115</v>
      </c>
      <c r="L24" s="1">
        <f>100*(I24*3600+J24*60+K24)/H24</f>
        <v>0</v>
      </c>
    </row>
    <row r="25" spans="3:12" ht="12.75">
      <c r="C25" t="s">
        <v>205</v>
      </c>
      <c r="D25" t="s">
        <v>215</v>
      </c>
      <c r="F25" t="s">
        <v>330</v>
      </c>
      <c r="H25" s="12">
        <v>85</v>
      </c>
      <c r="L25" s="1">
        <f>100*(I25*3600+J25*60+K25)/H25</f>
        <v>0</v>
      </c>
    </row>
    <row r="26" spans="3:12" ht="12.75">
      <c r="C26" t="s">
        <v>205</v>
      </c>
      <c r="D26" t="s">
        <v>47</v>
      </c>
      <c r="E26" t="s">
        <v>329</v>
      </c>
      <c r="F26" t="s">
        <v>327</v>
      </c>
      <c r="H26" s="12">
        <v>88</v>
      </c>
      <c r="L26" s="1">
        <f>100*(I26*3600+J26*60+K26)/H26</f>
        <v>0</v>
      </c>
    </row>
    <row r="27" spans="3:12" ht="12.75">
      <c r="C27" t="s">
        <v>205</v>
      </c>
      <c r="D27" t="s">
        <v>386</v>
      </c>
      <c r="E27" t="s">
        <v>387</v>
      </c>
      <c r="F27" t="s">
        <v>388</v>
      </c>
      <c r="H27" s="12">
        <v>94</v>
      </c>
      <c r="L27" s="1">
        <f t="shared" si="2"/>
        <v>0</v>
      </c>
    </row>
    <row r="28" spans="3:12" ht="12.75" hidden="1">
      <c r="C28" t="s">
        <v>205</v>
      </c>
      <c r="D28" t="s">
        <v>48</v>
      </c>
      <c r="F28" t="s">
        <v>259</v>
      </c>
      <c r="H28" s="12">
        <v>104</v>
      </c>
      <c r="L28" s="1">
        <f t="shared" si="2"/>
        <v>0</v>
      </c>
    </row>
    <row r="29" spans="3:12" ht="12.75">
      <c r="C29" t="s">
        <v>205</v>
      </c>
      <c r="D29" t="s">
        <v>333</v>
      </c>
      <c r="E29" t="s">
        <v>334</v>
      </c>
      <c r="F29" t="s">
        <v>335</v>
      </c>
      <c r="H29" s="12">
        <v>104</v>
      </c>
      <c r="L29" s="1">
        <f t="shared" si="2"/>
        <v>0</v>
      </c>
    </row>
    <row r="30" spans="3:12" ht="12.75">
      <c r="C30" t="s">
        <v>205</v>
      </c>
      <c r="D30" t="s">
        <v>217</v>
      </c>
      <c r="E30" t="s">
        <v>218</v>
      </c>
      <c r="F30" t="s">
        <v>219</v>
      </c>
      <c r="H30">
        <v>110</v>
      </c>
      <c r="L30">
        <f>100*(I30*3600+J30*60+K30)/H30</f>
        <v>0</v>
      </c>
    </row>
    <row r="31" spans="3:16" ht="12.75">
      <c r="C31" t="s">
        <v>205</v>
      </c>
      <c r="D31" t="s">
        <v>55</v>
      </c>
      <c r="E31" t="s">
        <v>355</v>
      </c>
      <c r="H31" s="12">
        <v>115</v>
      </c>
      <c r="L31" s="1">
        <f>100*(I31*3600+J31*60+K31)/H31</f>
        <v>0</v>
      </c>
      <c r="P31" s="1"/>
    </row>
    <row r="32" spans="3:12" ht="12.75">
      <c r="C32" t="s">
        <v>210</v>
      </c>
      <c r="D32" t="s">
        <v>260</v>
      </c>
      <c r="E32" t="s">
        <v>261</v>
      </c>
      <c r="F32" t="s">
        <v>262</v>
      </c>
      <c r="G32" s="16" t="s">
        <v>263</v>
      </c>
      <c r="H32">
        <v>87.5</v>
      </c>
      <c r="L32" s="1">
        <f t="shared" si="0"/>
        <v>0</v>
      </c>
    </row>
    <row r="33" spans="3:12" ht="12.75">
      <c r="C33" t="s">
        <v>210</v>
      </c>
      <c r="D33" t="s">
        <v>57</v>
      </c>
      <c r="E33" t="s">
        <v>264</v>
      </c>
      <c r="F33" t="s">
        <v>265</v>
      </c>
      <c r="H33" s="12">
        <v>94.5</v>
      </c>
      <c r="L33" s="1">
        <f t="shared" si="0"/>
        <v>0</v>
      </c>
    </row>
    <row r="34" spans="3:12" ht="12.75">
      <c r="C34" t="s">
        <v>205</v>
      </c>
      <c r="D34" s="16" t="s">
        <v>266</v>
      </c>
      <c r="E34" t="s">
        <v>68</v>
      </c>
      <c r="F34" t="s">
        <v>267</v>
      </c>
      <c r="H34">
        <v>97</v>
      </c>
      <c r="L34" s="1">
        <f t="shared" si="0"/>
        <v>0</v>
      </c>
    </row>
    <row r="35" spans="3:12" ht="12.75">
      <c r="C35" t="s">
        <v>205</v>
      </c>
      <c r="D35" t="s">
        <v>69</v>
      </c>
      <c r="F35" t="s">
        <v>70</v>
      </c>
      <c r="H35" s="12">
        <v>105</v>
      </c>
      <c r="L35">
        <f t="shared" si="0"/>
        <v>0</v>
      </c>
    </row>
    <row r="36" spans="3:12" ht="12.75">
      <c r="C36" t="s">
        <v>205</v>
      </c>
      <c r="D36" t="s">
        <v>268</v>
      </c>
      <c r="E36" t="s">
        <v>269</v>
      </c>
      <c r="F36" t="s">
        <v>270</v>
      </c>
      <c r="H36">
        <v>100</v>
      </c>
      <c r="L36" s="1">
        <f t="shared" si="0"/>
        <v>0</v>
      </c>
    </row>
    <row r="37" spans="3:12" ht="12.75">
      <c r="C37" t="s">
        <v>205</v>
      </c>
      <c r="D37" t="s">
        <v>271</v>
      </c>
      <c r="E37" t="s">
        <v>272</v>
      </c>
      <c r="F37" t="s">
        <v>115</v>
      </c>
      <c r="H37">
        <v>101</v>
      </c>
      <c r="L37" s="1">
        <f t="shared" si="0"/>
        <v>0</v>
      </c>
    </row>
    <row r="38" spans="3:12" ht="12.75">
      <c r="C38" t="s">
        <v>210</v>
      </c>
      <c r="D38" t="s">
        <v>273</v>
      </c>
      <c r="E38" t="s">
        <v>274</v>
      </c>
      <c r="F38" t="s">
        <v>275</v>
      </c>
      <c r="G38" t="s">
        <v>276</v>
      </c>
      <c r="H38">
        <v>102</v>
      </c>
      <c r="L38" s="1">
        <f t="shared" si="0"/>
        <v>0</v>
      </c>
    </row>
    <row r="39" spans="3:12" ht="12.75">
      <c r="C39" t="s">
        <v>205</v>
      </c>
      <c r="D39" s="16" t="s">
        <v>220</v>
      </c>
      <c r="E39" t="s">
        <v>221</v>
      </c>
      <c r="F39" t="s">
        <v>222</v>
      </c>
      <c r="H39" s="12">
        <v>114</v>
      </c>
      <c r="L39" s="1">
        <f t="shared" si="0"/>
        <v>0</v>
      </c>
    </row>
    <row r="40" spans="3:12" ht="12.75">
      <c r="C40" t="s">
        <v>205</v>
      </c>
      <c r="D40" t="s">
        <v>317</v>
      </c>
      <c r="F40" t="s">
        <v>368</v>
      </c>
      <c r="H40">
        <v>95</v>
      </c>
      <c r="L40" s="1">
        <f t="shared" si="0"/>
        <v>0</v>
      </c>
    </row>
    <row r="41" spans="3:12" ht="12.75">
      <c r="C41" t="s">
        <v>205</v>
      </c>
      <c r="D41" t="s">
        <v>74</v>
      </c>
      <c r="F41" t="s">
        <v>389</v>
      </c>
      <c r="H41" s="12">
        <v>107</v>
      </c>
      <c r="L41" s="1">
        <f t="shared" si="0"/>
        <v>0</v>
      </c>
    </row>
    <row r="42" spans="3:12" ht="12.75">
      <c r="C42" t="s">
        <v>205</v>
      </c>
      <c r="D42" t="s">
        <v>76</v>
      </c>
      <c r="E42" t="s">
        <v>78</v>
      </c>
      <c r="F42" t="s">
        <v>77</v>
      </c>
      <c r="H42" s="12">
        <v>115</v>
      </c>
      <c r="L42">
        <f t="shared" si="0"/>
        <v>0</v>
      </c>
    </row>
    <row r="43" spans="3:16" ht="12.75">
      <c r="C43" t="s">
        <v>205</v>
      </c>
      <c r="D43" t="s">
        <v>76</v>
      </c>
      <c r="F43" t="s">
        <v>330</v>
      </c>
      <c r="G43">
        <v>105250</v>
      </c>
      <c r="H43" s="12">
        <v>85</v>
      </c>
      <c r="L43" s="1">
        <f t="shared" si="0"/>
        <v>0</v>
      </c>
      <c r="P43" s="1"/>
    </row>
    <row r="44" spans="3:12" ht="12.75">
      <c r="C44" t="s">
        <v>205</v>
      </c>
      <c r="D44" t="s">
        <v>79</v>
      </c>
      <c r="F44" t="s">
        <v>80</v>
      </c>
      <c r="H44" s="12">
        <v>98</v>
      </c>
      <c r="L44" s="1">
        <f t="shared" si="0"/>
        <v>0</v>
      </c>
    </row>
    <row r="45" spans="3:12" ht="12.75">
      <c r="C45" t="s">
        <v>205</v>
      </c>
      <c r="D45" t="s">
        <v>82</v>
      </c>
      <c r="F45" t="s">
        <v>83</v>
      </c>
      <c r="H45" s="12">
        <v>101</v>
      </c>
      <c r="L45" s="1">
        <f t="shared" si="0"/>
        <v>0</v>
      </c>
    </row>
    <row r="46" spans="3:12" ht="12.75">
      <c r="C46" t="s">
        <v>205</v>
      </c>
      <c r="D46" t="s">
        <v>86</v>
      </c>
      <c r="F46" t="s">
        <v>90</v>
      </c>
      <c r="H46" s="12">
        <v>116</v>
      </c>
      <c r="L46" s="1">
        <f t="shared" si="0"/>
        <v>0</v>
      </c>
    </row>
    <row r="47" spans="3:12" ht="12.75">
      <c r="C47" t="s">
        <v>210</v>
      </c>
      <c r="D47" t="s">
        <v>86</v>
      </c>
      <c r="E47" t="s">
        <v>223</v>
      </c>
      <c r="F47" t="s">
        <v>90</v>
      </c>
      <c r="H47" s="12">
        <v>116</v>
      </c>
      <c r="L47" s="1">
        <f t="shared" si="0"/>
        <v>0</v>
      </c>
    </row>
    <row r="48" spans="3:16" ht="12.75">
      <c r="C48" t="s">
        <v>210</v>
      </c>
      <c r="D48" t="s">
        <v>86</v>
      </c>
      <c r="E48" t="s">
        <v>376</v>
      </c>
      <c r="F48" t="s">
        <v>377</v>
      </c>
      <c r="H48" s="12">
        <v>88.5</v>
      </c>
      <c r="L48" s="1">
        <f t="shared" si="0"/>
        <v>0</v>
      </c>
      <c r="P48" s="1"/>
    </row>
    <row r="49" spans="3:12" ht="12.75">
      <c r="C49" t="s">
        <v>205</v>
      </c>
      <c r="D49" t="s">
        <v>193</v>
      </c>
      <c r="F49" t="s">
        <v>194</v>
      </c>
      <c r="H49" s="12">
        <v>109</v>
      </c>
      <c r="L49">
        <f t="shared" si="0"/>
        <v>0</v>
      </c>
    </row>
    <row r="50" spans="3:12" ht="12.75">
      <c r="C50" t="s">
        <v>205</v>
      </c>
      <c r="D50" t="s">
        <v>224</v>
      </c>
      <c r="E50" t="s">
        <v>225</v>
      </c>
      <c r="F50" t="s">
        <v>226</v>
      </c>
      <c r="H50">
        <v>108</v>
      </c>
      <c r="L50">
        <f t="shared" si="0"/>
        <v>0</v>
      </c>
    </row>
    <row r="51" spans="3:12" ht="12.75">
      <c r="C51" t="s">
        <v>205</v>
      </c>
      <c r="D51" t="s">
        <v>99</v>
      </c>
      <c r="F51" t="s">
        <v>77</v>
      </c>
      <c r="H51" s="12">
        <v>115</v>
      </c>
      <c r="L51">
        <f>100*(I51*3600+J51*60+K51)/H51</f>
        <v>0</v>
      </c>
    </row>
    <row r="52" spans="3:12" ht="12.75">
      <c r="C52" t="s">
        <v>205</v>
      </c>
      <c r="D52" t="s">
        <v>187</v>
      </c>
      <c r="F52" t="s">
        <v>101</v>
      </c>
      <c r="H52" s="12">
        <v>105</v>
      </c>
      <c r="L52">
        <f t="shared" si="0"/>
        <v>0</v>
      </c>
    </row>
    <row r="53" spans="3:12" ht="12.75">
      <c r="C53" t="s">
        <v>205</v>
      </c>
      <c r="D53" t="s">
        <v>103</v>
      </c>
      <c r="F53" t="s">
        <v>104</v>
      </c>
      <c r="H53" s="12">
        <v>100</v>
      </c>
      <c r="L53" s="1">
        <f t="shared" si="0"/>
        <v>0</v>
      </c>
    </row>
    <row r="54" spans="3:12" ht="12.75">
      <c r="C54" t="s">
        <v>205</v>
      </c>
      <c r="D54" t="s">
        <v>384</v>
      </c>
      <c r="E54" t="s">
        <v>354</v>
      </c>
      <c r="F54" t="s">
        <v>360</v>
      </c>
      <c r="H54">
        <v>105</v>
      </c>
      <c r="L54" s="1">
        <f t="shared" si="0"/>
        <v>0</v>
      </c>
    </row>
    <row r="55" spans="3:12" ht="12.75">
      <c r="C55" t="s">
        <v>205</v>
      </c>
      <c r="D55" t="s">
        <v>105</v>
      </c>
      <c r="F55" t="s">
        <v>188</v>
      </c>
      <c r="H55" s="12">
        <v>105</v>
      </c>
      <c r="L55">
        <f t="shared" si="0"/>
        <v>0</v>
      </c>
    </row>
    <row r="56" spans="3:12" ht="12.75">
      <c r="C56" t="s">
        <v>205</v>
      </c>
      <c r="D56" t="s">
        <v>107</v>
      </c>
      <c r="F56" t="s">
        <v>108</v>
      </c>
      <c r="H56" s="12">
        <v>103</v>
      </c>
      <c r="L56" s="1">
        <f t="shared" si="0"/>
        <v>0</v>
      </c>
    </row>
    <row r="57" spans="3:12" ht="12.75">
      <c r="C57" t="s">
        <v>205</v>
      </c>
      <c r="D57" t="s">
        <v>109</v>
      </c>
      <c r="E57" t="s">
        <v>111</v>
      </c>
      <c r="F57" t="s">
        <v>110</v>
      </c>
      <c r="H57">
        <v>113</v>
      </c>
      <c r="L57" s="1">
        <f t="shared" si="0"/>
        <v>0</v>
      </c>
    </row>
    <row r="58" spans="3:12" ht="12.75">
      <c r="C58" t="s">
        <v>205</v>
      </c>
      <c r="D58" t="s">
        <v>114</v>
      </c>
      <c r="F58" t="s">
        <v>115</v>
      </c>
      <c r="H58" s="12">
        <v>101</v>
      </c>
      <c r="L58" s="1">
        <f t="shared" si="0"/>
        <v>0</v>
      </c>
    </row>
    <row r="59" spans="3:12" ht="12.75">
      <c r="C59" t="s">
        <v>205</v>
      </c>
      <c r="D59" t="s">
        <v>116</v>
      </c>
      <c r="E59" t="s">
        <v>118</v>
      </c>
      <c r="F59" t="s">
        <v>277</v>
      </c>
      <c r="H59">
        <v>104</v>
      </c>
      <c r="L59" s="1">
        <f t="shared" si="0"/>
        <v>0</v>
      </c>
    </row>
    <row r="60" spans="3:12" ht="12.75">
      <c r="C60" t="s">
        <v>205</v>
      </c>
      <c r="D60" t="s">
        <v>119</v>
      </c>
      <c r="F60" t="s">
        <v>120</v>
      </c>
      <c r="H60" s="12">
        <v>100</v>
      </c>
      <c r="L60" s="1">
        <f t="shared" si="0"/>
        <v>0</v>
      </c>
    </row>
    <row r="61" spans="3:16" ht="12.75">
      <c r="C61" t="s">
        <v>205</v>
      </c>
      <c r="D61" t="s">
        <v>381</v>
      </c>
      <c r="E61" t="s">
        <v>382</v>
      </c>
      <c r="F61" t="s">
        <v>383</v>
      </c>
      <c r="H61">
        <v>94</v>
      </c>
      <c r="L61" s="1">
        <f t="shared" si="0"/>
        <v>0</v>
      </c>
      <c r="P61" s="1"/>
    </row>
    <row r="62" spans="3:12" ht="12.75">
      <c r="C62" t="s">
        <v>205</v>
      </c>
      <c r="D62" t="s">
        <v>121</v>
      </c>
      <c r="F62" t="s">
        <v>122</v>
      </c>
      <c r="H62" s="12">
        <v>90</v>
      </c>
      <c r="L62" s="1">
        <f t="shared" si="0"/>
        <v>0</v>
      </c>
    </row>
    <row r="63" spans="3:12" ht="12.75">
      <c r="C63" t="s">
        <v>210</v>
      </c>
      <c r="D63" t="s">
        <v>278</v>
      </c>
      <c r="E63" t="s">
        <v>279</v>
      </c>
      <c r="F63" s="16" t="s">
        <v>280</v>
      </c>
      <c r="G63" t="s">
        <v>281</v>
      </c>
      <c r="H63">
        <v>85.5</v>
      </c>
      <c r="L63" s="1">
        <f t="shared" si="0"/>
        <v>0</v>
      </c>
    </row>
    <row r="64" spans="3:12" ht="12.75">
      <c r="C64" t="s">
        <v>210</v>
      </c>
      <c r="D64" t="s">
        <v>282</v>
      </c>
      <c r="E64" t="s">
        <v>283</v>
      </c>
      <c r="F64" t="s">
        <v>284</v>
      </c>
      <c r="G64" t="s">
        <v>285</v>
      </c>
      <c r="H64">
        <v>85.5</v>
      </c>
      <c r="L64" s="1">
        <f t="shared" si="0"/>
        <v>0</v>
      </c>
    </row>
    <row r="65" spans="3:12" ht="12.75">
      <c r="C65" t="s">
        <v>205</v>
      </c>
      <c r="D65" t="s">
        <v>128</v>
      </c>
      <c r="F65" t="s">
        <v>129</v>
      </c>
      <c r="H65" s="12">
        <v>109</v>
      </c>
      <c r="L65">
        <f t="shared" si="0"/>
        <v>0</v>
      </c>
    </row>
    <row r="66" spans="3:12" ht="12.75">
      <c r="C66" t="s">
        <v>205</v>
      </c>
      <c r="D66" t="s">
        <v>131</v>
      </c>
      <c r="F66" t="s">
        <v>132</v>
      </c>
      <c r="H66" s="12">
        <v>107</v>
      </c>
      <c r="L66">
        <f t="shared" si="0"/>
        <v>0</v>
      </c>
    </row>
    <row r="67" spans="3:12" ht="12.75">
      <c r="C67" t="s">
        <v>205</v>
      </c>
      <c r="D67" t="s">
        <v>133</v>
      </c>
      <c r="F67" t="s">
        <v>190</v>
      </c>
      <c r="H67" s="12">
        <v>86</v>
      </c>
      <c r="L67" s="1">
        <f t="shared" si="0"/>
        <v>0</v>
      </c>
    </row>
    <row r="68" spans="3:12" ht="12.75">
      <c r="C68" t="s">
        <v>205</v>
      </c>
      <c r="D68" t="s">
        <v>133</v>
      </c>
      <c r="E68" t="s">
        <v>303</v>
      </c>
      <c r="F68" t="s">
        <v>304</v>
      </c>
      <c r="H68">
        <v>102</v>
      </c>
      <c r="L68" s="1">
        <f t="shared" si="0"/>
        <v>0</v>
      </c>
    </row>
    <row r="69" spans="3:12" ht="12.75">
      <c r="C69" t="s">
        <v>205</v>
      </c>
      <c r="D69" t="s">
        <v>136</v>
      </c>
      <c r="F69" t="s">
        <v>137</v>
      </c>
      <c r="H69" s="12">
        <v>96.2</v>
      </c>
      <c r="L69" s="1">
        <f>100*(I69*3600+J69*60+K69)/H69</f>
        <v>0</v>
      </c>
    </row>
    <row r="70" spans="3:12" ht="12.75">
      <c r="C70" t="s">
        <v>210</v>
      </c>
      <c r="D70" t="s">
        <v>286</v>
      </c>
      <c r="E70" t="s">
        <v>331</v>
      </c>
      <c r="F70" t="s">
        <v>332</v>
      </c>
      <c r="H70">
        <v>97.5</v>
      </c>
      <c r="L70" s="1">
        <f t="shared" si="0"/>
        <v>0</v>
      </c>
    </row>
    <row r="71" spans="3:12" ht="12.75">
      <c r="C71" t="s">
        <v>210</v>
      </c>
      <c r="D71" t="s">
        <v>363</v>
      </c>
      <c r="E71" t="s">
        <v>364</v>
      </c>
      <c r="F71" t="s">
        <v>365</v>
      </c>
      <c r="H71" s="12">
        <v>87.5</v>
      </c>
      <c r="L71" s="1">
        <f t="shared" si="0"/>
        <v>0</v>
      </c>
    </row>
    <row r="72" spans="3:12" ht="12.75">
      <c r="C72" t="s">
        <v>210</v>
      </c>
      <c r="D72" t="s">
        <v>227</v>
      </c>
      <c r="E72" t="s">
        <v>228</v>
      </c>
      <c r="F72" t="s">
        <v>229</v>
      </c>
      <c r="H72" s="12">
        <v>118.5</v>
      </c>
      <c r="L72" s="1">
        <f t="shared" si="0"/>
        <v>0</v>
      </c>
    </row>
    <row r="73" spans="3:12" ht="12.75">
      <c r="C73" t="s">
        <v>205</v>
      </c>
      <c r="D73" t="s">
        <v>138</v>
      </c>
      <c r="E73" t="s">
        <v>288</v>
      </c>
      <c r="F73" t="s">
        <v>289</v>
      </c>
      <c r="G73" t="s">
        <v>290</v>
      </c>
      <c r="H73">
        <v>94.5</v>
      </c>
      <c r="L73" s="1">
        <f aca="true" t="shared" si="3" ref="L73:L95">100*(I73*3600+J73*60+K73)/H73</f>
        <v>0</v>
      </c>
    </row>
    <row r="74" spans="3:12" ht="12.75">
      <c r="C74" t="s">
        <v>205</v>
      </c>
      <c r="D74" t="s">
        <v>141</v>
      </c>
      <c r="F74" t="s">
        <v>132</v>
      </c>
      <c r="H74" s="12">
        <v>107</v>
      </c>
      <c r="L74">
        <f t="shared" si="3"/>
        <v>0</v>
      </c>
    </row>
    <row r="75" spans="3:12" ht="12.75">
      <c r="C75" t="s">
        <v>205</v>
      </c>
      <c r="D75" t="s">
        <v>142</v>
      </c>
      <c r="E75" t="s">
        <v>144</v>
      </c>
      <c r="F75" t="s">
        <v>275</v>
      </c>
      <c r="H75">
        <v>97</v>
      </c>
      <c r="L75" s="1">
        <f t="shared" si="3"/>
        <v>0</v>
      </c>
    </row>
    <row r="76" spans="3:12" ht="12.75">
      <c r="C76" t="s">
        <v>205</v>
      </c>
      <c r="D76" t="s">
        <v>145</v>
      </c>
      <c r="E76" t="s">
        <v>291</v>
      </c>
      <c r="F76" t="s">
        <v>292</v>
      </c>
      <c r="H76">
        <v>102</v>
      </c>
      <c r="L76" s="1">
        <f t="shared" si="3"/>
        <v>0</v>
      </c>
    </row>
    <row r="77" spans="3:12" ht="12.75">
      <c r="C77" t="s">
        <v>205</v>
      </c>
      <c r="D77" t="s">
        <v>378</v>
      </c>
      <c r="E77" t="s">
        <v>334</v>
      </c>
      <c r="F77" t="s">
        <v>335</v>
      </c>
      <c r="H77">
        <v>104</v>
      </c>
      <c r="L77" s="1">
        <f t="shared" si="3"/>
        <v>0</v>
      </c>
    </row>
    <row r="78" spans="3:12" ht="12.75">
      <c r="C78" t="s">
        <v>293</v>
      </c>
      <c r="D78" t="s">
        <v>294</v>
      </c>
      <c r="E78" t="s">
        <v>295</v>
      </c>
      <c r="F78" t="s">
        <v>265</v>
      </c>
      <c r="H78">
        <v>95</v>
      </c>
      <c r="L78" s="1">
        <f t="shared" si="3"/>
        <v>0</v>
      </c>
    </row>
    <row r="79" spans="3:12" ht="12.75">
      <c r="C79" t="s">
        <v>205</v>
      </c>
      <c r="D79" t="s">
        <v>148</v>
      </c>
      <c r="F79" t="s">
        <v>149</v>
      </c>
      <c r="H79" s="12">
        <v>89</v>
      </c>
      <c r="L79" s="1">
        <f t="shared" si="3"/>
        <v>0</v>
      </c>
    </row>
    <row r="80" spans="3:12" ht="12.75">
      <c r="C80" t="s">
        <v>205</v>
      </c>
      <c r="D80" t="s">
        <v>150</v>
      </c>
      <c r="F80" t="s">
        <v>151</v>
      </c>
      <c r="H80" s="12">
        <v>89</v>
      </c>
      <c r="L80" s="1">
        <f t="shared" si="3"/>
        <v>0</v>
      </c>
    </row>
    <row r="81" spans="3:12" ht="12.75">
      <c r="C81" t="s">
        <v>205</v>
      </c>
      <c r="D81" s="4" t="s">
        <v>296</v>
      </c>
      <c r="E81" t="s">
        <v>153</v>
      </c>
      <c r="F81" t="s">
        <v>287</v>
      </c>
      <c r="G81" t="s">
        <v>297</v>
      </c>
      <c r="H81">
        <v>97</v>
      </c>
      <c r="L81" s="1">
        <f t="shared" si="3"/>
        <v>0</v>
      </c>
    </row>
    <row r="82" spans="3:12" ht="12.75">
      <c r="C82" t="s">
        <v>205</v>
      </c>
      <c r="D82" t="s">
        <v>154</v>
      </c>
      <c r="F82" t="s">
        <v>230</v>
      </c>
      <c r="H82" s="12">
        <v>110</v>
      </c>
      <c r="L82">
        <f t="shared" si="3"/>
        <v>0</v>
      </c>
    </row>
    <row r="83" spans="3:12" ht="12.75">
      <c r="C83" t="s">
        <v>210</v>
      </c>
      <c r="D83" t="s">
        <v>231</v>
      </c>
      <c r="E83" t="s">
        <v>232</v>
      </c>
      <c r="F83" s="16" t="s">
        <v>226</v>
      </c>
      <c r="G83" t="s">
        <v>233</v>
      </c>
      <c r="H83">
        <v>108.5</v>
      </c>
      <c r="L83">
        <f t="shared" si="3"/>
        <v>0</v>
      </c>
    </row>
    <row r="84" spans="3:12" ht="12.75">
      <c r="C84" t="s">
        <v>205</v>
      </c>
      <c r="D84" s="16" t="s">
        <v>298</v>
      </c>
      <c r="E84" t="s">
        <v>299</v>
      </c>
      <c r="F84" t="s">
        <v>300</v>
      </c>
      <c r="H84">
        <v>97.5</v>
      </c>
      <c r="L84" s="1">
        <f t="shared" si="3"/>
        <v>0</v>
      </c>
    </row>
    <row r="85" spans="3:12" ht="12.75">
      <c r="C85" t="s">
        <v>210</v>
      </c>
      <c r="D85" t="s">
        <v>234</v>
      </c>
      <c r="E85" t="s">
        <v>235</v>
      </c>
      <c r="F85" t="s">
        <v>90</v>
      </c>
      <c r="H85" s="12">
        <v>117.1</v>
      </c>
      <c r="L85" s="1">
        <f t="shared" si="3"/>
        <v>0</v>
      </c>
    </row>
    <row r="86" spans="3:12" ht="12.75">
      <c r="C86" t="s">
        <v>210</v>
      </c>
      <c r="D86" t="s">
        <v>234</v>
      </c>
      <c r="E86" t="s">
        <v>301</v>
      </c>
      <c r="F86" t="s">
        <v>302</v>
      </c>
      <c r="H86" s="12">
        <v>86.5</v>
      </c>
      <c r="L86" s="1">
        <f t="shared" si="3"/>
        <v>0</v>
      </c>
    </row>
    <row r="87" spans="3:12" ht="12.75">
      <c r="C87" t="s">
        <v>205</v>
      </c>
      <c r="D87" t="s">
        <v>191</v>
      </c>
      <c r="F87" t="s">
        <v>40</v>
      </c>
      <c r="H87" s="12">
        <v>111</v>
      </c>
      <c r="L87">
        <f t="shared" si="3"/>
        <v>0</v>
      </c>
    </row>
    <row r="88" spans="3:12" ht="12.75">
      <c r="C88" t="s">
        <v>210</v>
      </c>
      <c r="D88" s="4" t="s">
        <v>158</v>
      </c>
      <c r="E88" t="s">
        <v>362</v>
      </c>
      <c r="F88" s="4" t="s">
        <v>385</v>
      </c>
      <c r="H88">
        <v>90</v>
      </c>
      <c r="L88" s="1">
        <f t="shared" si="3"/>
        <v>0</v>
      </c>
    </row>
    <row r="89" spans="3:12" ht="12.75">
      <c r="C89" t="s">
        <v>205</v>
      </c>
      <c r="D89" t="s">
        <v>336</v>
      </c>
      <c r="E89" t="s">
        <v>337</v>
      </c>
      <c r="F89" t="s">
        <v>127</v>
      </c>
      <c r="H89" s="12">
        <v>101</v>
      </c>
      <c r="L89" s="1">
        <f t="shared" si="3"/>
        <v>0</v>
      </c>
    </row>
    <row r="90" spans="3:12" ht="12.75">
      <c r="C90" t="s">
        <v>205</v>
      </c>
      <c r="D90" t="s">
        <v>159</v>
      </c>
      <c r="E90" t="s">
        <v>341</v>
      </c>
      <c r="F90" t="s">
        <v>342</v>
      </c>
      <c r="H90" s="12">
        <v>107.5</v>
      </c>
      <c r="L90" s="1">
        <f t="shared" si="3"/>
        <v>0</v>
      </c>
    </row>
    <row r="91" spans="3:12" ht="12.75">
      <c r="C91" t="s">
        <v>210</v>
      </c>
      <c r="D91" t="s">
        <v>236</v>
      </c>
      <c r="E91" t="s">
        <v>237</v>
      </c>
      <c r="F91" t="s">
        <v>90</v>
      </c>
      <c r="H91" s="12">
        <v>116.5</v>
      </c>
      <c r="L91" s="1">
        <f t="shared" si="3"/>
        <v>0</v>
      </c>
    </row>
    <row r="92" spans="3:12" ht="12.75">
      <c r="C92" t="s">
        <v>205</v>
      </c>
      <c r="D92" t="s">
        <v>162</v>
      </c>
      <c r="F92" t="s">
        <v>163</v>
      </c>
      <c r="H92" s="12">
        <v>96</v>
      </c>
      <c r="L92" s="1">
        <f t="shared" si="3"/>
        <v>0</v>
      </c>
    </row>
    <row r="93" spans="3:16" ht="12.75">
      <c r="C93" t="s">
        <v>205</v>
      </c>
      <c r="D93" t="s">
        <v>369</v>
      </c>
      <c r="E93" t="s">
        <v>167</v>
      </c>
      <c r="F93" t="s">
        <v>166</v>
      </c>
      <c r="H93" s="12">
        <v>102</v>
      </c>
      <c r="L93" s="1">
        <f t="shared" si="3"/>
        <v>0</v>
      </c>
      <c r="P93" s="1"/>
    </row>
    <row r="94" spans="3:16" ht="12.75">
      <c r="C94" t="s">
        <v>205</v>
      </c>
      <c r="D94" t="s">
        <v>366</v>
      </c>
      <c r="E94" t="s">
        <v>367</v>
      </c>
      <c r="F94" t="s">
        <v>368</v>
      </c>
      <c r="H94">
        <v>95</v>
      </c>
      <c r="L94" s="1">
        <f t="shared" si="3"/>
        <v>0</v>
      </c>
      <c r="P94" s="1"/>
    </row>
    <row r="95" spans="3:12" ht="12.75">
      <c r="C95" t="s">
        <v>205</v>
      </c>
      <c r="D95" t="s">
        <v>168</v>
      </c>
      <c r="E95" t="s">
        <v>305</v>
      </c>
      <c r="F95" t="s">
        <v>277</v>
      </c>
      <c r="G95" t="s">
        <v>306</v>
      </c>
      <c r="H95">
        <v>104</v>
      </c>
      <c r="L95" s="1">
        <f t="shared" si="3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29" sqref="F29"/>
    </sheetView>
  </sheetViews>
  <sheetFormatPr defaultColWidth="9.140625" defaultRowHeight="12.75"/>
  <cols>
    <col min="12" max="12" width="13.8515625" style="0" customWidth="1"/>
    <col min="13" max="13" width="11.7109375" style="0" customWidth="1"/>
  </cols>
  <sheetData>
    <row r="1" ht="12.75">
      <c r="C1" t="s">
        <v>307</v>
      </c>
    </row>
    <row r="2" spans="9:14" ht="12.75">
      <c r="I2" t="s">
        <v>198</v>
      </c>
      <c r="L2" t="s">
        <v>7</v>
      </c>
      <c r="M2" s="16"/>
      <c r="N2" t="s">
        <v>308</v>
      </c>
    </row>
    <row r="3" spans="1:11" ht="12.75">
      <c r="A3" t="s">
        <v>309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2:14" ht="12.75">
      <c r="B4">
        <v>1</v>
      </c>
      <c r="D4" t="s">
        <v>45</v>
      </c>
      <c r="F4" t="s">
        <v>390</v>
      </c>
      <c r="H4">
        <v>108</v>
      </c>
      <c r="L4">
        <f aca="true" t="shared" si="0" ref="L4:L11">100*(I4*3600+J4*60+K4)/H4</f>
        <v>0</v>
      </c>
      <c r="N4">
        <f aca="true" t="shared" si="1" ref="N4:N11">L4+M4</f>
        <v>0</v>
      </c>
    </row>
    <row r="5" spans="2:14" ht="12.75">
      <c r="B5">
        <v>2</v>
      </c>
      <c r="D5" t="s">
        <v>310</v>
      </c>
      <c r="F5" t="s">
        <v>113</v>
      </c>
      <c r="H5">
        <v>100</v>
      </c>
      <c r="L5">
        <f t="shared" si="0"/>
        <v>0</v>
      </c>
      <c r="N5">
        <f t="shared" si="1"/>
        <v>0</v>
      </c>
    </row>
    <row r="6" spans="2:14" ht="12.75">
      <c r="B6">
        <v>3</v>
      </c>
      <c r="D6" t="s">
        <v>311</v>
      </c>
      <c r="F6" t="s">
        <v>312</v>
      </c>
      <c r="H6">
        <v>114</v>
      </c>
      <c r="L6">
        <f t="shared" si="0"/>
        <v>0</v>
      </c>
      <c r="N6">
        <f t="shared" si="1"/>
        <v>0</v>
      </c>
    </row>
    <row r="7" spans="2:14" ht="12.75">
      <c r="B7">
        <v>4</v>
      </c>
      <c r="D7" t="s">
        <v>313</v>
      </c>
      <c r="F7" t="s">
        <v>113</v>
      </c>
      <c r="H7">
        <v>100</v>
      </c>
      <c r="L7">
        <f t="shared" si="0"/>
        <v>0</v>
      </c>
      <c r="N7">
        <f t="shared" si="1"/>
        <v>0</v>
      </c>
    </row>
    <row r="8" spans="2:14" ht="12.75">
      <c r="B8">
        <v>5</v>
      </c>
      <c r="D8" t="s">
        <v>112</v>
      </c>
      <c r="F8" t="s">
        <v>113</v>
      </c>
      <c r="H8">
        <v>100</v>
      </c>
      <c r="L8">
        <f t="shared" si="0"/>
        <v>0</v>
      </c>
      <c r="N8">
        <f t="shared" si="1"/>
        <v>0</v>
      </c>
    </row>
    <row r="9" spans="2:14" ht="12.75">
      <c r="B9">
        <v>6</v>
      </c>
      <c r="D9" t="s">
        <v>314</v>
      </c>
      <c r="F9" t="s">
        <v>315</v>
      </c>
      <c r="H9">
        <v>116</v>
      </c>
      <c r="L9">
        <f t="shared" si="0"/>
        <v>0</v>
      </c>
      <c r="N9">
        <f t="shared" si="1"/>
        <v>0</v>
      </c>
    </row>
    <row r="10" spans="2:14" ht="12.75">
      <c r="B10">
        <v>7</v>
      </c>
      <c r="D10" t="s">
        <v>189</v>
      </c>
      <c r="F10" t="s">
        <v>124</v>
      </c>
      <c r="H10">
        <v>116</v>
      </c>
      <c r="L10">
        <f t="shared" si="0"/>
        <v>0</v>
      </c>
      <c r="N10">
        <f t="shared" si="1"/>
        <v>0</v>
      </c>
    </row>
    <row r="11" spans="2:14" ht="12.75">
      <c r="B11">
        <v>8</v>
      </c>
      <c r="D11" t="s">
        <v>157</v>
      </c>
      <c r="F11" t="s">
        <v>124</v>
      </c>
      <c r="H11">
        <v>116</v>
      </c>
      <c r="L11">
        <f t="shared" si="0"/>
        <v>0</v>
      </c>
      <c r="N11">
        <f t="shared" si="1"/>
        <v>0</v>
      </c>
    </row>
    <row r="12" ht="12.75">
      <c r="B12">
        <v>9</v>
      </c>
    </row>
    <row r="13" ht="12.75">
      <c r="B13">
        <v>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34">
      <selection activeCell="M29" sqref="M29"/>
    </sheetView>
  </sheetViews>
  <sheetFormatPr defaultColWidth="9.140625" defaultRowHeight="12.75"/>
  <cols>
    <col min="2" max="2" width="11.28125" style="0" customWidth="1"/>
    <col min="3" max="3" width="3.140625" style="0" customWidth="1"/>
    <col min="4" max="4" width="13.8515625" style="0" customWidth="1"/>
    <col min="5" max="5" width="15.140625" style="0" customWidth="1"/>
    <col min="6" max="6" width="14.140625" style="0" customWidth="1"/>
    <col min="7" max="7" width="6.7109375" style="0" customWidth="1"/>
    <col min="8" max="8" width="9.140625" style="12" customWidth="1"/>
    <col min="9" max="9" width="4.140625" style="0" customWidth="1"/>
    <col min="10" max="10" width="6.8515625" style="0" customWidth="1"/>
    <col min="11" max="11" width="4.7109375" style="0" customWidth="1"/>
    <col min="12" max="12" width="4.8515625" style="12" customWidth="1"/>
    <col min="13" max="13" width="4.7109375" style="0" customWidth="1"/>
    <col min="14" max="14" width="4.7109375" style="12" customWidth="1"/>
    <col min="15" max="15" width="4.28125" style="0" customWidth="1"/>
    <col min="16" max="16" width="5.00390625" style="12" customWidth="1"/>
    <col min="17" max="17" width="5.57421875" style="0" customWidth="1"/>
    <col min="18" max="18" width="1.28515625" style="0" customWidth="1"/>
    <col min="19" max="19" width="1.57421875" style="0" customWidth="1"/>
    <col min="20" max="20" width="1.7109375" style="0" customWidth="1"/>
    <col min="21" max="22" width="2.28125" style="0" customWidth="1"/>
    <col min="23" max="23" width="10.7109375" style="12" bestFit="1" customWidth="1"/>
  </cols>
  <sheetData>
    <row r="1" ht="23.25">
      <c r="B1" s="15" t="s">
        <v>519</v>
      </c>
    </row>
    <row r="2" spans="3:11" ht="12.75">
      <c r="C2" t="s">
        <v>200</v>
      </c>
      <c r="D2" t="s">
        <v>2</v>
      </c>
      <c r="E2" t="s">
        <v>201</v>
      </c>
      <c r="F2" t="s">
        <v>202</v>
      </c>
      <c r="G2" t="s">
        <v>203</v>
      </c>
      <c r="H2" s="12" t="s">
        <v>204</v>
      </c>
      <c r="I2" t="s">
        <v>4</v>
      </c>
      <c r="J2" t="s">
        <v>439</v>
      </c>
      <c r="K2" t="s">
        <v>440</v>
      </c>
    </row>
    <row r="3" spans="3:25" ht="12.75">
      <c r="C3" t="s">
        <v>210</v>
      </c>
      <c r="D3" s="16" t="s">
        <v>238</v>
      </c>
      <c r="E3" t="s">
        <v>239</v>
      </c>
      <c r="F3" s="16" t="s">
        <v>240</v>
      </c>
      <c r="H3" s="12">
        <v>98</v>
      </c>
      <c r="W3" s="12">
        <f>SUM(K3:V3)*H3/100*(240+J3)/(240+(2*J3))</f>
        <v>0</v>
      </c>
      <c r="Y3">
        <f aca="true" t="shared" si="0" ref="Y3:Y35">SUM(K3:V3)</f>
        <v>0</v>
      </c>
    </row>
    <row r="4" spans="3:25" ht="12.75">
      <c r="C4" t="s">
        <v>205</v>
      </c>
      <c r="D4" t="s">
        <v>17</v>
      </c>
      <c r="E4" t="s">
        <v>19</v>
      </c>
      <c r="F4" t="s">
        <v>18</v>
      </c>
      <c r="H4" s="12">
        <v>99</v>
      </c>
      <c r="W4" s="12">
        <f aca="true" t="shared" si="1" ref="W4:W67">SUM(K4:V4)*H4/100*(240+J4)/(240+(2*J4))</f>
        <v>0</v>
      </c>
      <c r="Y4">
        <f t="shared" si="0"/>
        <v>0</v>
      </c>
    </row>
    <row r="5" spans="3:25" ht="12.75">
      <c r="C5" t="s">
        <v>205</v>
      </c>
      <c r="D5" t="s">
        <v>487</v>
      </c>
      <c r="E5" t="s">
        <v>488</v>
      </c>
      <c r="F5" t="s">
        <v>489</v>
      </c>
      <c r="H5" s="12">
        <v>111</v>
      </c>
      <c r="W5" s="12">
        <f t="shared" si="1"/>
        <v>0</v>
      </c>
      <c r="Y5">
        <f t="shared" si="0"/>
        <v>0</v>
      </c>
    </row>
    <row r="6" spans="3:25" ht="12.75">
      <c r="C6" t="s">
        <v>205</v>
      </c>
      <c r="D6" t="s">
        <v>379</v>
      </c>
      <c r="E6" t="s">
        <v>380</v>
      </c>
      <c r="F6" t="s">
        <v>357</v>
      </c>
      <c r="H6" s="12">
        <v>99</v>
      </c>
      <c r="W6" s="12">
        <f t="shared" si="1"/>
        <v>0</v>
      </c>
      <c r="Y6">
        <f>SUM(K6:V6)</f>
        <v>0</v>
      </c>
    </row>
    <row r="7" spans="3:25" ht="12.75">
      <c r="C7" t="s">
        <v>205</v>
      </c>
      <c r="D7" t="s">
        <v>21</v>
      </c>
      <c r="E7" s="16" t="s">
        <v>23</v>
      </c>
      <c r="F7" t="s">
        <v>22</v>
      </c>
      <c r="H7" s="12">
        <v>109</v>
      </c>
      <c r="W7" s="12">
        <f t="shared" si="1"/>
        <v>0</v>
      </c>
      <c r="Y7">
        <f t="shared" si="0"/>
        <v>0</v>
      </c>
    </row>
    <row r="8" spans="3:25" ht="12.75">
      <c r="C8" t="s">
        <v>205</v>
      </c>
      <c r="D8" t="s">
        <v>241</v>
      </c>
      <c r="E8" t="s">
        <v>242</v>
      </c>
      <c r="F8" t="s">
        <v>243</v>
      </c>
      <c r="H8" s="12">
        <v>98.5</v>
      </c>
      <c r="W8" s="12">
        <f t="shared" si="1"/>
        <v>0</v>
      </c>
      <c r="Y8">
        <f t="shared" si="0"/>
        <v>0</v>
      </c>
    </row>
    <row r="9" spans="3:25" ht="12.75">
      <c r="C9" t="s">
        <v>210</v>
      </c>
      <c r="D9" t="s">
        <v>373</v>
      </c>
      <c r="E9" t="s">
        <v>374</v>
      </c>
      <c r="F9" t="s">
        <v>375</v>
      </c>
      <c r="H9" s="12">
        <v>90.5</v>
      </c>
      <c r="W9" s="12">
        <f t="shared" si="1"/>
        <v>0</v>
      </c>
      <c r="Y9">
        <f t="shared" si="0"/>
        <v>0</v>
      </c>
    </row>
    <row r="10" spans="3:25" ht="12.75">
      <c r="C10" t="s">
        <v>205</v>
      </c>
      <c r="D10" t="s">
        <v>24</v>
      </c>
      <c r="E10" t="s">
        <v>244</v>
      </c>
      <c r="F10" t="s">
        <v>243</v>
      </c>
      <c r="H10" s="12">
        <v>98.5</v>
      </c>
      <c r="W10" s="12">
        <f t="shared" si="1"/>
        <v>0</v>
      </c>
      <c r="Y10">
        <f t="shared" si="0"/>
        <v>0</v>
      </c>
    </row>
    <row r="11" spans="3:25" ht="12.75">
      <c r="C11" t="s">
        <v>205</v>
      </c>
      <c r="D11" t="s">
        <v>27</v>
      </c>
      <c r="E11" t="s">
        <v>245</v>
      </c>
      <c r="F11" t="s">
        <v>246</v>
      </c>
      <c r="H11" s="12">
        <v>96</v>
      </c>
      <c r="W11" s="12">
        <f t="shared" si="1"/>
        <v>0</v>
      </c>
      <c r="Y11">
        <f>SUM(K11:V11)</f>
        <v>0</v>
      </c>
    </row>
    <row r="12" spans="3:25" ht="12.75">
      <c r="C12" t="s">
        <v>205</v>
      </c>
      <c r="D12" t="s">
        <v>522</v>
      </c>
      <c r="E12" t="s">
        <v>523</v>
      </c>
      <c r="F12" t="s">
        <v>524</v>
      </c>
      <c r="H12" s="12">
        <v>120</v>
      </c>
      <c r="W12" s="12">
        <f t="shared" si="1"/>
        <v>0</v>
      </c>
      <c r="Y12">
        <f t="shared" si="0"/>
        <v>0</v>
      </c>
    </row>
    <row r="13" spans="3:25" ht="12.75">
      <c r="C13" t="s">
        <v>210</v>
      </c>
      <c r="D13" t="s">
        <v>31</v>
      </c>
      <c r="E13" t="s">
        <v>33</v>
      </c>
      <c r="F13" t="s">
        <v>206</v>
      </c>
      <c r="H13" s="12">
        <v>107</v>
      </c>
      <c r="W13" s="12">
        <f t="shared" si="1"/>
        <v>0</v>
      </c>
      <c r="Y13">
        <f t="shared" si="0"/>
        <v>0</v>
      </c>
    </row>
    <row r="14" spans="3:25" ht="12.75">
      <c r="C14" t="s">
        <v>205</v>
      </c>
      <c r="D14" t="s">
        <v>34</v>
      </c>
      <c r="E14" t="s">
        <v>36</v>
      </c>
      <c r="F14" s="16" t="s">
        <v>247</v>
      </c>
      <c r="G14" t="s">
        <v>248</v>
      </c>
      <c r="H14" s="12">
        <v>89</v>
      </c>
      <c r="W14" s="12">
        <f t="shared" si="1"/>
        <v>0</v>
      </c>
      <c r="Y14">
        <f t="shared" si="0"/>
        <v>0</v>
      </c>
    </row>
    <row r="15" spans="3:25" ht="12.75">
      <c r="C15" t="s">
        <v>210</v>
      </c>
      <c r="D15" t="s">
        <v>211</v>
      </c>
      <c r="E15" t="s">
        <v>212</v>
      </c>
      <c r="F15" s="16" t="s">
        <v>213</v>
      </c>
      <c r="G15" t="s">
        <v>214</v>
      </c>
      <c r="H15" s="12">
        <v>109</v>
      </c>
      <c r="J15" s="22"/>
      <c r="W15" s="12">
        <f t="shared" si="1"/>
        <v>0</v>
      </c>
      <c r="Y15">
        <f>SUM(K15:V15)</f>
        <v>0</v>
      </c>
    </row>
    <row r="16" spans="3:25" ht="12.75">
      <c r="C16" t="s">
        <v>210</v>
      </c>
      <c r="D16" t="s">
        <v>39</v>
      </c>
      <c r="F16" t="s">
        <v>40</v>
      </c>
      <c r="H16" s="12">
        <v>111</v>
      </c>
      <c r="W16" s="12">
        <f t="shared" si="1"/>
        <v>0</v>
      </c>
      <c r="Y16">
        <f t="shared" si="0"/>
        <v>0</v>
      </c>
    </row>
    <row r="17" spans="3:25" ht="12.75">
      <c r="C17" t="s">
        <v>205</v>
      </c>
      <c r="D17" t="s">
        <v>249</v>
      </c>
      <c r="E17" t="s">
        <v>250</v>
      </c>
      <c r="F17" t="s">
        <v>251</v>
      </c>
      <c r="G17" t="s">
        <v>252</v>
      </c>
      <c r="H17" s="12">
        <v>103</v>
      </c>
      <c r="W17" s="12">
        <f t="shared" si="1"/>
        <v>0</v>
      </c>
      <c r="Y17">
        <f t="shared" si="0"/>
        <v>0</v>
      </c>
    </row>
    <row r="18" spans="3:25" ht="12.75">
      <c r="C18" t="s">
        <v>205</v>
      </c>
      <c r="D18" t="s">
        <v>338</v>
      </c>
      <c r="E18" t="s">
        <v>339</v>
      </c>
      <c r="F18" t="s">
        <v>340</v>
      </c>
      <c r="H18" s="12">
        <v>91</v>
      </c>
      <c r="W18" s="12">
        <f t="shared" si="1"/>
        <v>0</v>
      </c>
      <c r="Y18">
        <f t="shared" si="0"/>
        <v>0</v>
      </c>
    </row>
    <row r="19" spans="3:25" ht="12.75">
      <c r="C19" t="s">
        <v>205</v>
      </c>
      <c r="D19" t="s">
        <v>253</v>
      </c>
      <c r="E19" t="s">
        <v>254</v>
      </c>
      <c r="F19" s="16" t="s">
        <v>255</v>
      </c>
      <c r="H19" s="12">
        <v>104</v>
      </c>
      <c r="W19" s="12">
        <f t="shared" si="1"/>
        <v>0</v>
      </c>
      <c r="Y19">
        <f>SUM(K19:V19)</f>
        <v>0</v>
      </c>
    </row>
    <row r="20" spans="3:25" ht="12.75">
      <c r="C20" t="s">
        <v>205</v>
      </c>
      <c r="D20" t="s">
        <v>256</v>
      </c>
      <c r="E20" t="s">
        <v>257</v>
      </c>
      <c r="F20" t="s">
        <v>258</v>
      </c>
      <c r="H20" s="12">
        <v>81.5</v>
      </c>
      <c r="W20" s="12">
        <f t="shared" si="1"/>
        <v>0</v>
      </c>
      <c r="Y20">
        <f>SUM(K20:V20)</f>
        <v>0</v>
      </c>
    </row>
    <row r="21" spans="3:25" ht="12.75">
      <c r="C21" t="s">
        <v>205</v>
      </c>
      <c r="D21" t="s">
        <v>484</v>
      </c>
      <c r="E21" t="s">
        <v>471</v>
      </c>
      <c r="F21" t="s">
        <v>472</v>
      </c>
      <c r="H21" s="12">
        <v>101.3</v>
      </c>
      <c r="U21" s="12"/>
      <c r="W21" s="12">
        <f t="shared" si="1"/>
        <v>0</v>
      </c>
      <c r="Y21">
        <f t="shared" si="0"/>
        <v>0</v>
      </c>
    </row>
    <row r="22" spans="3:25" ht="12.75">
      <c r="C22" t="s">
        <v>205</v>
      </c>
      <c r="D22" s="4" t="s">
        <v>370</v>
      </c>
      <c r="E22" t="s">
        <v>371</v>
      </c>
      <c r="F22" s="4" t="s">
        <v>372</v>
      </c>
      <c r="H22" s="12">
        <v>99</v>
      </c>
      <c r="W22" s="12">
        <f t="shared" si="1"/>
        <v>0</v>
      </c>
      <c r="Y22">
        <f t="shared" si="0"/>
        <v>0</v>
      </c>
    </row>
    <row r="23" spans="3:25" ht="12.75">
      <c r="C23" t="s">
        <v>205</v>
      </c>
      <c r="D23" t="s">
        <v>47</v>
      </c>
      <c r="E23" t="s">
        <v>329</v>
      </c>
      <c r="F23" t="s">
        <v>327</v>
      </c>
      <c r="H23" s="12">
        <v>87</v>
      </c>
      <c r="W23" s="12">
        <f t="shared" si="1"/>
        <v>0</v>
      </c>
      <c r="Y23">
        <f t="shared" si="0"/>
        <v>0</v>
      </c>
    </row>
    <row r="24" spans="3:25" ht="12.75">
      <c r="C24" t="s">
        <v>205</v>
      </c>
      <c r="D24" t="s">
        <v>386</v>
      </c>
      <c r="E24" t="s">
        <v>387</v>
      </c>
      <c r="F24" t="s">
        <v>388</v>
      </c>
      <c r="H24" s="12">
        <v>91</v>
      </c>
      <c r="W24" s="12">
        <f t="shared" si="1"/>
        <v>0</v>
      </c>
      <c r="Y24">
        <f t="shared" si="0"/>
        <v>0</v>
      </c>
    </row>
    <row r="25" spans="3:25" ht="12.75">
      <c r="C25" t="s">
        <v>210</v>
      </c>
      <c r="D25" t="s">
        <v>48</v>
      </c>
      <c r="F25" t="s">
        <v>259</v>
      </c>
      <c r="H25" s="12">
        <v>104</v>
      </c>
      <c r="W25" s="12">
        <f t="shared" si="1"/>
        <v>0</v>
      </c>
      <c r="Y25">
        <f t="shared" si="0"/>
        <v>0</v>
      </c>
    </row>
    <row r="26" spans="3:25" ht="12.75">
      <c r="C26" t="s">
        <v>210</v>
      </c>
      <c r="D26" t="s">
        <v>333</v>
      </c>
      <c r="E26" t="s">
        <v>334</v>
      </c>
      <c r="F26" t="s">
        <v>408</v>
      </c>
      <c r="H26" s="12">
        <v>94</v>
      </c>
      <c r="W26" s="12">
        <f t="shared" si="1"/>
        <v>0</v>
      </c>
      <c r="Y26">
        <f t="shared" si="0"/>
        <v>0</v>
      </c>
    </row>
    <row r="27" spans="3:25" ht="12.75">
      <c r="C27" t="s">
        <v>205</v>
      </c>
      <c r="D27" t="s">
        <v>217</v>
      </c>
      <c r="E27" t="s">
        <v>218</v>
      </c>
      <c r="F27" t="s">
        <v>219</v>
      </c>
      <c r="H27" s="12">
        <v>110</v>
      </c>
      <c r="W27" s="12">
        <f t="shared" si="1"/>
        <v>0</v>
      </c>
      <c r="Y27">
        <f>SUM(K27:V27)</f>
        <v>0</v>
      </c>
    </row>
    <row r="28" spans="3:25" ht="12.75">
      <c r="C28" t="s">
        <v>205</v>
      </c>
      <c r="D28" t="s">
        <v>260</v>
      </c>
      <c r="E28" t="s">
        <v>261</v>
      </c>
      <c r="F28" t="s">
        <v>262</v>
      </c>
      <c r="G28" s="16" t="s">
        <v>263</v>
      </c>
      <c r="H28" s="12">
        <v>88.5</v>
      </c>
      <c r="W28" s="12">
        <f t="shared" si="1"/>
        <v>0</v>
      </c>
      <c r="Y28">
        <f>SUM(K28:V28)</f>
        <v>0</v>
      </c>
    </row>
    <row r="29" spans="3:25" ht="12.75">
      <c r="C29" t="s">
        <v>205</v>
      </c>
      <c r="D29" t="s">
        <v>57</v>
      </c>
      <c r="E29" t="s">
        <v>264</v>
      </c>
      <c r="F29" t="s">
        <v>265</v>
      </c>
      <c r="H29" s="12">
        <v>101.5</v>
      </c>
      <c r="W29" s="12">
        <f t="shared" si="1"/>
        <v>0</v>
      </c>
      <c r="Y29">
        <f t="shared" si="0"/>
        <v>0</v>
      </c>
    </row>
    <row r="30" spans="3:25" ht="12.75">
      <c r="C30" t="s">
        <v>210</v>
      </c>
      <c r="D30" s="16" t="s">
        <v>266</v>
      </c>
      <c r="E30" t="s">
        <v>68</v>
      </c>
      <c r="F30" t="s">
        <v>267</v>
      </c>
      <c r="H30" s="12">
        <v>93</v>
      </c>
      <c r="W30" s="12">
        <f t="shared" si="1"/>
        <v>0</v>
      </c>
      <c r="Y30">
        <f t="shared" si="0"/>
        <v>0</v>
      </c>
    </row>
    <row r="31" spans="3:25" ht="12.75">
      <c r="C31" t="s">
        <v>205</v>
      </c>
      <c r="D31" t="s">
        <v>69</v>
      </c>
      <c r="F31" t="s">
        <v>70</v>
      </c>
      <c r="H31" s="12">
        <v>108</v>
      </c>
      <c r="W31" s="12">
        <f t="shared" si="1"/>
        <v>0</v>
      </c>
      <c r="Y31">
        <f t="shared" si="0"/>
        <v>0</v>
      </c>
    </row>
    <row r="32" spans="3:25" ht="12.75">
      <c r="C32" t="s">
        <v>205</v>
      </c>
      <c r="D32" t="s">
        <v>268</v>
      </c>
      <c r="E32" t="s">
        <v>269</v>
      </c>
      <c r="F32" t="s">
        <v>270</v>
      </c>
      <c r="H32" s="12">
        <v>100</v>
      </c>
      <c r="W32" s="12">
        <f t="shared" si="1"/>
        <v>0</v>
      </c>
      <c r="Y32">
        <f t="shared" si="0"/>
        <v>0</v>
      </c>
    </row>
    <row r="33" spans="3:25" ht="12.75">
      <c r="C33" t="s">
        <v>205</v>
      </c>
      <c r="D33" t="s">
        <v>273</v>
      </c>
      <c r="E33" t="s">
        <v>274</v>
      </c>
      <c r="F33" t="s">
        <v>275</v>
      </c>
      <c r="G33" t="s">
        <v>276</v>
      </c>
      <c r="H33" s="12">
        <v>99</v>
      </c>
      <c r="W33" s="12">
        <f t="shared" si="1"/>
        <v>0</v>
      </c>
      <c r="Y33">
        <f t="shared" si="0"/>
        <v>0</v>
      </c>
    </row>
    <row r="34" spans="3:25" ht="12.75">
      <c r="C34" t="s">
        <v>205</v>
      </c>
      <c r="D34" s="16" t="s">
        <v>220</v>
      </c>
      <c r="E34" t="s">
        <v>221</v>
      </c>
      <c r="F34" t="s">
        <v>222</v>
      </c>
      <c r="H34" s="12">
        <v>114</v>
      </c>
      <c r="W34" s="12">
        <f t="shared" si="1"/>
        <v>0</v>
      </c>
      <c r="Y34">
        <f>SUM(K34:V34)</f>
        <v>0</v>
      </c>
    </row>
    <row r="35" spans="3:25" ht="12.75">
      <c r="C35" t="s">
        <v>205</v>
      </c>
      <c r="D35" t="s">
        <v>317</v>
      </c>
      <c r="F35" t="s">
        <v>368</v>
      </c>
      <c r="H35" s="12">
        <v>92</v>
      </c>
      <c r="W35" s="12">
        <f t="shared" si="1"/>
        <v>0</v>
      </c>
      <c r="Y35">
        <f t="shared" si="0"/>
        <v>0</v>
      </c>
    </row>
    <row r="36" spans="3:25" ht="12.75">
      <c r="C36" t="s">
        <v>205</v>
      </c>
      <c r="D36" t="s">
        <v>74</v>
      </c>
      <c r="F36" t="s">
        <v>389</v>
      </c>
      <c r="H36" s="12">
        <v>104</v>
      </c>
      <c r="W36" s="12">
        <f t="shared" si="1"/>
        <v>0</v>
      </c>
      <c r="Y36">
        <f aca="true" t="shared" si="2" ref="Y36:Y86">SUM(K36:V36)</f>
        <v>0</v>
      </c>
    </row>
    <row r="37" spans="3:25" ht="12.75">
      <c r="C37" t="s">
        <v>210</v>
      </c>
      <c r="D37" t="s">
        <v>79</v>
      </c>
      <c r="F37" t="s">
        <v>80</v>
      </c>
      <c r="H37" s="12">
        <v>98</v>
      </c>
      <c r="W37" s="12">
        <f t="shared" si="1"/>
        <v>0</v>
      </c>
      <c r="Y37">
        <f t="shared" si="2"/>
        <v>0</v>
      </c>
    </row>
    <row r="38" spans="3:25" ht="12.75">
      <c r="C38" t="s">
        <v>210</v>
      </c>
      <c r="D38" t="s">
        <v>82</v>
      </c>
      <c r="F38" t="s">
        <v>83</v>
      </c>
      <c r="H38" s="12">
        <v>98</v>
      </c>
      <c r="W38" s="12">
        <f t="shared" si="1"/>
        <v>0</v>
      </c>
      <c r="Y38">
        <f t="shared" si="2"/>
        <v>0</v>
      </c>
    </row>
    <row r="39" spans="3:25" ht="12.75">
      <c r="C39" t="s">
        <v>205</v>
      </c>
      <c r="D39" t="s">
        <v>86</v>
      </c>
      <c r="F39" t="s">
        <v>90</v>
      </c>
      <c r="H39" s="12">
        <v>116</v>
      </c>
      <c r="W39" s="12">
        <f t="shared" si="1"/>
        <v>0</v>
      </c>
      <c r="Y39">
        <f t="shared" si="2"/>
        <v>0</v>
      </c>
    </row>
    <row r="40" spans="3:25" ht="12.75">
      <c r="C40" t="s">
        <v>205</v>
      </c>
      <c r="D40" t="s">
        <v>86</v>
      </c>
      <c r="E40" t="s">
        <v>223</v>
      </c>
      <c r="F40" t="s">
        <v>90</v>
      </c>
      <c r="H40" s="12">
        <v>116</v>
      </c>
      <c r="W40" s="12">
        <f t="shared" si="1"/>
        <v>0</v>
      </c>
      <c r="Y40">
        <f t="shared" si="2"/>
        <v>0</v>
      </c>
    </row>
    <row r="41" spans="3:25" ht="12.75">
      <c r="C41" t="s">
        <v>205</v>
      </c>
      <c r="D41" t="s">
        <v>86</v>
      </c>
      <c r="E41" t="s">
        <v>376</v>
      </c>
      <c r="F41" t="s">
        <v>377</v>
      </c>
      <c r="H41" s="12">
        <v>90</v>
      </c>
      <c r="W41" s="12">
        <f t="shared" si="1"/>
        <v>0</v>
      </c>
      <c r="Y41">
        <f t="shared" si="2"/>
        <v>0</v>
      </c>
    </row>
    <row r="42" spans="3:25" ht="12.75">
      <c r="C42" t="s">
        <v>205</v>
      </c>
      <c r="D42" t="s">
        <v>193</v>
      </c>
      <c r="F42" t="s">
        <v>194</v>
      </c>
      <c r="H42" s="12">
        <v>109</v>
      </c>
      <c r="W42" s="12">
        <f t="shared" si="1"/>
        <v>0</v>
      </c>
      <c r="Y42">
        <f t="shared" si="2"/>
        <v>0</v>
      </c>
    </row>
    <row r="43" spans="3:25" ht="12.75">
      <c r="C43" t="s">
        <v>205</v>
      </c>
      <c r="D43" t="s">
        <v>224</v>
      </c>
      <c r="E43" t="s">
        <v>225</v>
      </c>
      <c r="F43" t="s">
        <v>226</v>
      </c>
      <c r="H43" s="12">
        <v>109.2</v>
      </c>
      <c r="W43" s="12">
        <f t="shared" si="1"/>
        <v>0</v>
      </c>
      <c r="Y43">
        <f t="shared" si="2"/>
        <v>0</v>
      </c>
    </row>
    <row r="44" spans="3:25" ht="12.75">
      <c r="C44" t="s">
        <v>205</v>
      </c>
      <c r="D44" t="s">
        <v>187</v>
      </c>
      <c r="F44" t="s">
        <v>101</v>
      </c>
      <c r="H44" s="12">
        <v>105</v>
      </c>
      <c r="W44" s="12">
        <f t="shared" si="1"/>
        <v>0</v>
      </c>
      <c r="Y44">
        <f t="shared" si="2"/>
        <v>0</v>
      </c>
    </row>
    <row r="45" spans="3:25" ht="12.75">
      <c r="C45" t="s">
        <v>205</v>
      </c>
      <c r="D45" t="s">
        <v>384</v>
      </c>
      <c r="E45" t="s">
        <v>354</v>
      </c>
      <c r="F45" t="s">
        <v>360</v>
      </c>
      <c r="H45" s="12">
        <v>107</v>
      </c>
      <c r="W45" s="12">
        <f t="shared" si="1"/>
        <v>0</v>
      </c>
      <c r="Y45">
        <f t="shared" si="2"/>
        <v>0</v>
      </c>
    </row>
    <row r="46" spans="3:25" ht="12.75">
      <c r="C46" t="s">
        <v>205</v>
      </c>
      <c r="D46" t="s">
        <v>105</v>
      </c>
      <c r="F46" t="s">
        <v>188</v>
      </c>
      <c r="H46" s="12">
        <v>106</v>
      </c>
      <c r="W46" s="12">
        <f t="shared" si="1"/>
        <v>0</v>
      </c>
      <c r="Y46">
        <f t="shared" si="2"/>
        <v>0</v>
      </c>
    </row>
    <row r="47" spans="3:25" ht="12.75">
      <c r="C47" t="s">
        <v>205</v>
      </c>
      <c r="D47" t="s">
        <v>107</v>
      </c>
      <c r="F47" t="s">
        <v>108</v>
      </c>
      <c r="H47" s="12">
        <v>111</v>
      </c>
      <c r="W47" s="12">
        <f t="shared" si="1"/>
        <v>0</v>
      </c>
      <c r="Y47">
        <f t="shared" si="2"/>
        <v>0</v>
      </c>
    </row>
    <row r="48" spans="3:25" ht="12.75">
      <c r="C48" t="s">
        <v>205</v>
      </c>
      <c r="D48" t="s">
        <v>109</v>
      </c>
      <c r="E48" t="s">
        <v>476</v>
      </c>
      <c r="F48" t="s">
        <v>477</v>
      </c>
      <c r="H48" s="12">
        <v>100</v>
      </c>
      <c r="W48" s="12">
        <f t="shared" si="1"/>
        <v>0</v>
      </c>
      <c r="Y48">
        <f t="shared" si="2"/>
        <v>0</v>
      </c>
    </row>
    <row r="49" spans="3:25" ht="12.75">
      <c r="C49" t="s">
        <v>205</v>
      </c>
      <c r="D49" t="s">
        <v>114</v>
      </c>
      <c r="F49" t="s">
        <v>115</v>
      </c>
      <c r="H49" s="12">
        <v>101</v>
      </c>
      <c r="W49" s="12">
        <f t="shared" si="1"/>
        <v>0</v>
      </c>
      <c r="Y49">
        <f t="shared" si="2"/>
        <v>0</v>
      </c>
    </row>
    <row r="50" spans="3:25" ht="12.75">
      <c r="C50" t="s">
        <v>210</v>
      </c>
      <c r="D50" t="s">
        <v>116</v>
      </c>
      <c r="E50" t="s">
        <v>118</v>
      </c>
      <c r="F50" t="s">
        <v>277</v>
      </c>
      <c r="H50" s="12">
        <v>103</v>
      </c>
      <c r="W50" s="12">
        <f t="shared" si="1"/>
        <v>0</v>
      </c>
      <c r="Y50">
        <f t="shared" si="2"/>
        <v>0</v>
      </c>
    </row>
    <row r="51" spans="3:25" ht="12.75">
      <c r="C51" t="s">
        <v>210</v>
      </c>
      <c r="D51" t="s">
        <v>119</v>
      </c>
      <c r="F51" t="s">
        <v>120</v>
      </c>
      <c r="H51" s="12">
        <v>101</v>
      </c>
      <c r="W51" s="12">
        <f t="shared" si="1"/>
        <v>0</v>
      </c>
      <c r="Y51">
        <f t="shared" si="2"/>
        <v>0</v>
      </c>
    </row>
    <row r="52" spans="3:25" ht="12.75">
      <c r="C52" t="s">
        <v>205</v>
      </c>
      <c r="D52" t="s">
        <v>381</v>
      </c>
      <c r="E52" t="s">
        <v>382</v>
      </c>
      <c r="F52" t="s">
        <v>383</v>
      </c>
      <c r="H52" s="12">
        <v>89</v>
      </c>
      <c r="W52" s="12">
        <f t="shared" si="1"/>
        <v>0</v>
      </c>
      <c r="Y52">
        <f t="shared" si="2"/>
        <v>0</v>
      </c>
    </row>
    <row r="53" spans="3:25" ht="12.75">
      <c r="C53" t="s">
        <v>205</v>
      </c>
      <c r="D53" t="s">
        <v>278</v>
      </c>
      <c r="E53" t="s">
        <v>279</v>
      </c>
      <c r="F53" s="16" t="s">
        <v>280</v>
      </c>
      <c r="G53" t="s">
        <v>281</v>
      </c>
      <c r="H53" s="12">
        <v>88.5</v>
      </c>
      <c r="W53" s="12">
        <f t="shared" si="1"/>
        <v>0</v>
      </c>
      <c r="Y53">
        <f t="shared" si="2"/>
        <v>0</v>
      </c>
    </row>
    <row r="54" spans="3:25" ht="12.75">
      <c r="C54" t="s">
        <v>205</v>
      </c>
      <c r="D54" t="s">
        <v>282</v>
      </c>
      <c r="E54" t="s">
        <v>283</v>
      </c>
      <c r="F54" t="s">
        <v>284</v>
      </c>
      <c r="G54" t="s">
        <v>285</v>
      </c>
      <c r="H54" s="12">
        <v>86</v>
      </c>
      <c r="W54" s="12">
        <f t="shared" si="1"/>
        <v>0</v>
      </c>
      <c r="Y54">
        <f t="shared" si="2"/>
        <v>0</v>
      </c>
    </row>
    <row r="55" spans="3:25" ht="12.75">
      <c r="C55" t="s">
        <v>205</v>
      </c>
      <c r="D55" t="s">
        <v>494</v>
      </c>
      <c r="E55" t="s">
        <v>475</v>
      </c>
      <c r="F55" t="s">
        <v>372</v>
      </c>
      <c r="H55" s="12">
        <v>88</v>
      </c>
      <c r="W55" s="12">
        <f t="shared" si="1"/>
        <v>0</v>
      </c>
      <c r="Y55">
        <f t="shared" si="2"/>
        <v>0</v>
      </c>
    </row>
    <row r="56" spans="3:25" ht="12.75">
      <c r="C56" t="s">
        <v>205</v>
      </c>
      <c r="D56" t="s">
        <v>473</v>
      </c>
      <c r="F56" t="s">
        <v>474</v>
      </c>
      <c r="H56" s="12">
        <v>105</v>
      </c>
      <c r="W56" s="12">
        <f t="shared" si="1"/>
        <v>0</v>
      </c>
      <c r="Y56">
        <f t="shared" si="2"/>
        <v>0</v>
      </c>
    </row>
    <row r="57" spans="3:25" ht="12.75">
      <c r="C57" t="s">
        <v>205</v>
      </c>
      <c r="D57" t="s">
        <v>128</v>
      </c>
      <c r="F57" t="s">
        <v>129</v>
      </c>
      <c r="H57" s="12">
        <v>107</v>
      </c>
      <c r="W57" s="12">
        <f t="shared" si="1"/>
        <v>0</v>
      </c>
      <c r="Y57">
        <f t="shared" si="2"/>
        <v>0</v>
      </c>
    </row>
    <row r="58" spans="3:25" ht="12.75">
      <c r="C58" t="s">
        <v>210</v>
      </c>
      <c r="D58" t="s">
        <v>133</v>
      </c>
      <c r="F58" t="s">
        <v>190</v>
      </c>
      <c r="H58" s="12">
        <v>86</v>
      </c>
      <c r="W58" s="12">
        <f t="shared" si="1"/>
        <v>0</v>
      </c>
      <c r="Y58">
        <f t="shared" si="2"/>
        <v>0</v>
      </c>
    </row>
    <row r="59" spans="3:25" ht="12.75">
      <c r="C59" t="s">
        <v>210</v>
      </c>
      <c r="D59" t="s">
        <v>133</v>
      </c>
      <c r="E59" t="s">
        <v>303</v>
      </c>
      <c r="F59" t="s">
        <v>304</v>
      </c>
      <c r="H59" s="12">
        <v>100</v>
      </c>
      <c r="W59" s="12">
        <f t="shared" si="1"/>
        <v>0</v>
      </c>
      <c r="Y59">
        <f t="shared" si="2"/>
        <v>0</v>
      </c>
    </row>
    <row r="60" spans="3:25" ht="12.75">
      <c r="C60" t="s">
        <v>210</v>
      </c>
      <c r="D60" t="s">
        <v>391</v>
      </c>
      <c r="E60" t="s">
        <v>394</v>
      </c>
      <c r="F60" t="s">
        <v>345</v>
      </c>
      <c r="H60" s="12">
        <v>108.3</v>
      </c>
      <c r="W60" s="12">
        <f t="shared" si="1"/>
        <v>0</v>
      </c>
      <c r="Y60">
        <f t="shared" si="2"/>
        <v>0</v>
      </c>
    </row>
    <row r="61" spans="3:25" ht="12.75">
      <c r="C61" t="s">
        <v>205</v>
      </c>
      <c r="D61" t="s">
        <v>286</v>
      </c>
      <c r="E61" t="s">
        <v>331</v>
      </c>
      <c r="F61" t="s">
        <v>332</v>
      </c>
      <c r="H61" s="12">
        <v>113.8</v>
      </c>
      <c r="W61" s="12">
        <f t="shared" si="1"/>
        <v>0</v>
      </c>
      <c r="Y61">
        <f t="shared" si="2"/>
        <v>0</v>
      </c>
    </row>
    <row r="62" spans="3:25" ht="12.75">
      <c r="C62" t="s">
        <v>205</v>
      </c>
      <c r="D62" t="s">
        <v>363</v>
      </c>
      <c r="E62" t="s">
        <v>364</v>
      </c>
      <c r="F62" t="s">
        <v>365</v>
      </c>
      <c r="H62" s="12">
        <v>86</v>
      </c>
      <c r="W62" s="12">
        <f t="shared" si="1"/>
        <v>0</v>
      </c>
      <c r="Y62">
        <f t="shared" si="2"/>
        <v>0</v>
      </c>
    </row>
    <row r="63" spans="3:25" ht="12.75">
      <c r="C63" t="s">
        <v>205</v>
      </c>
      <c r="D63" t="s">
        <v>227</v>
      </c>
      <c r="E63" t="s">
        <v>228</v>
      </c>
      <c r="F63" t="s">
        <v>229</v>
      </c>
      <c r="H63" s="12">
        <v>121</v>
      </c>
      <c r="W63" s="12">
        <f t="shared" si="1"/>
        <v>0</v>
      </c>
      <c r="Y63">
        <f t="shared" si="2"/>
        <v>0</v>
      </c>
    </row>
    <row r="64" spans="3:25" ht="12.75">
      <c r="C64" t="s">
        <v>205</v>
      </c>
      <c r="D64" t="s">
        <v>138</v>
      </c>
      <c r="E64" t="s">
        <v>288</v>
      </c>
      <c r="F64" t="s">
        <v>289</v>
      </c>
      <c r="G64" t="s">
        <v>290</v>
      </c>
      <c r="H64" s="12">
        <v>98</v>
      </c>
      <c r="W64" s="12">
        <f t="shared" si="1"/>
        <v>0</v>
      </c>
      <c r="Y64">
        <f t="shared" si="2"/>
        <v>0</v>
      </c>
    </row>
    <row r="65" spans="3:25" ht="12.75">
      <c r="C65" t="s">
        <v>293</v>
      </c>
      <c r="D65" t="s">
        <v>142</v>
      </c>
      <c r="E65" t="s">
        <v>144</v>
      </c>
      <c r="F65" t="s">
        <v>275</v>
      </c>
      <c r="H65" s="12">
        <v>99</v>
      </c>
      <c r="W65" s="12">
        <f t="shared" si="1"/>
        <v>0</v>
      </c>
      <c r="Y65">
        <f t="shared" si="2"/>
        <v>0</v>
      </c>
    </row>
    <row r="66" spans="3:25" ht="12.75">
      <c r="C66" t="s">
        <v>205</v>
      </c>
      <c r="D66" t="s">
        <v>145</v>
      </c>
      <c r="E66" t="s">
        <v>291</v>
      </c>
      <c r="F66" t="s">
        <v>292</v>
      </c>
      <c r="H66" s="12">
        <v>102</v>
      </c>
      <c r="W66" s="12">
        <f t="shared" si="1"/>
        <v>0</v>
      </c>
      <c r="X66" s="17"/>
      <c r="Y66">
        <f t="shared" si="2"/>
        <v>0</v>
      </c>
    </row>
    <row r="67" spans="3:25" ht="12.75">
      <c r="C67" t="s">
        <v>205</v>
      </c>
      <c r="D67" t="s">
        <v>378</v>
      </c>
      <c r="E67" t="s">
        <v>334</v>
      </c>
      <c r="F67" t="s">
        <v>408</v>
      </c>
      <c r="H67" s="12">
        <v>94</v>
      </c>
      <c r="O67" s="23"/>
      <c r="P67" s="24"/>
      <c r="Q67" s="17"/>
      <c r="R67" s="17"/>
      <c r="S67" s="17"/>
      <c r="T67" s="17"/>
      <c r="U67" s="17"/>
      <c r="V67" s="17"/>
      <c r="W67" s="12">
        <f t="shared" si="1"/>
        <v>0</v>
      </c>
      <c r="Y67">
        <f t="shared" si="2"/>
        <v>0</v>
      </c>
    </row>
    <row r="68" spans="3:25" ht="12.75">
      <c r="C68" t="s">
        <v>205</v>
      </c>
      <c r="D68" t="s">
        <v>294</v>
      </c>
      <c r="E68" t="s">
        <v>295</v>
      </c>
      <c r="F68" t="s">
        <v>265</v>
      </c>
      <c r="H68" s="12">
        <v>101.5</v>
      </c>
      <c r="W68" s="12">
        <f aca="true" t="shared" si="3" ref="W68:W86">SUM(K68:V68)*H68/100*(240+J68)/(240+(2*J68))</f>
        <v>0</v>
      </c>
      <c r="Y68">
        <f t="shared" si="2"/>
        <v>0</v>
      </c>
    </row>
    <row r="69" spans="3:25" ht="12.75">
      <c r="C69" t="s">
        <v>205</v>
      </c>
      <c r="D69" t="s">
        <v>148</v>
      </c>
      <c r="F69" t="s">
        <v>149</v>
      </c>
      <c r="H69" s="12">
        <v>89</v>
      </c>
      <c r="W69" s="12">
        <f t="shared" si="3"/>
        <v>0</v>
      </c>
      <c r="Y69">
        <f t="shared" si="2"/>
        <v>0</v>
      </c>
    </row>
    <row r="70" spans="3:25" ht="12.75">
      <c r="C70" t="s">
        <v>205</v>
      </c>
      <c r="D70" t="s">
        <v>150</v>
      </c>
      <c r="F70" t="s">
        <v>151</v>
      </c>
      <c r="H70" s="12">
        <v>89</v>
      </c>
      <c r="W70" s="12">
        <f t="shared" si="3"/>
        <v>0</v>
      </c>
      <c r="Y70">
        <f t="shared" si="2"/>
        <v>0</v>
      </c>
    </row>
    <row r="71" spans="3:25" ht="12.75">
      <c r="C71" t="s">
        <v>210</v>
      </c>
      <c r="D71" s="4" t="s">
        <v>296</v>
      </c>
      <c r="E71" t="s">
        <v>478</v>
      </c>
      <c r="F71" t="s">
        <v>345</v>
      </c>
      <c r="H71" s="12">
        <v>113.8</v>
      </c>
      <c r="W71" s="12">
        <f t="shared" si="3"/>
        <v>0</v>
      </c>
      <c r="Y71">
        <f t="shared" si="2"/>
        <v>0</v>
      </c>
    </row>
    <row r="72" spans="1:25" s="17" customFormat="1" ht="12.75">
      <c r="A72"/>
      <c r="B72"/>
      <c r="C72" t="s">
        <v>210</v>
      </c>
      <c r="D72" t="s">
        <v>296</v>
      </c>
      <c r="E72" t="s">
        <v>153</v>
      </c>
      <c r="F72" t="s">
        <v>521</v>
      </c>
      <c r="G72"/>
      <c r="H72" s="12">
        <v>98</v>
      </c>
      <c r="I72"/>
      <c r="J72"/>
      <c r="K72"/>
      <c r="L72" s="12"/>
      <c r="M72"/>
      <c r="N72" s="12"/>
      <c r="O72"/>
      <c r="P72" s="12"/>
      <c r="Q72"/>
      <c r="R72"/>
      <c r="S72"/>
      <c r="T72"/>
      <c r="U72"/>
      <c r="V72"/>
      <c r="W72" s="12">
        <f t="shared" si="3"/>
        <v>0</v>
      </c>
      <c r="X72"/>
      <c r="Y72">
        <f t="shared" si="2"/>
        <v>0</v>
      </c>
    </row>
    <row r="73" spans="3:25" ht="12.75">
      <c r="C73" t="s">
        <v>210</v>
      </c>
      <c r="D73" t="s">
        <v>479</v>
      </c>
      <c r="F73" t="s">
        <v>480</v>
      </c>
      <c r="H73" s="12">
        <v>95.1</v>
      </c>
      <c r="W73" s="12">
        <f t="shared" si="3"/>
        <v>0</v>
      </c>
      <c r="Y73">
        <f t="shared" si="2"/>
        <v>0</v>
      </c>
    </row>
    <row r="74" spans="3:25" ht="12.75">
      <c r="C74" t="s">
        <v>205</v>
      </c>
      <c r="D74" t="s">
        <v>231</v>
      </c>
      <c r="E74" t="s">
        <v>232</v>
      </c>
      <c r="F74" s="16" t="s">
        <v>226</v>
      </c>
      <c r="G74" t="s">
        <v>233</v>
      </c>
      <c r="H74" s="12">
        <v>109.2</v>
      </c>
      <c r="W74" s="12">
        <f t="shared" si="3"/>
        <v>0</v>
      </c>
      <c r="Y74">
        <f t="shared" si="2"/>
        <v>0</v>
      </c>
    </row>
    <row r="75" spans="3:25" ht="12.75">
      <c r="C75" t="s">
        <v>210</v>
      </c>
      <c r="D75" t="s">
        <v>234</v>
      </c>
      <c r="E75" t="s">
        <v>235</v>
      </c>
      <c r="F75" t="s">
        <v>90</v>
      </c>
      <c r="H75" s="12">
        <v>116</v>
      </c>
      <c r="W75" s="12">
        <f t="shared" si="3"/>
        <v>0</v>
      </c>
      <c r="Y75">
        <f t="shared" si="2"/>
        <v>0</v>
      </c>
    </row>
    <row r="76" spans="3:25" ht="12.75">
      <c r="C76" t="s">
        <v>205</v>
      </c>
      <c r="D76" t="s">
        <v>234</v>
      </c>
      <c r="E76" t="s">
        <v>301</v>
      </c>
      <c r="F76" t="s">
        <v>302</v>
      </c>
      <c r="H76" s="12">
        <v>87</v>
      </c>
      <c r="W76" s="12">
        <f t="shared" si="3"/>
        <v>0</v>
      </c>
      <c r="Y76">
        <f t="shared" si="2"/>
        <v>0</v>
      </c>
    </row>
    <row r="77" spans="3:25" ht="12.75">
      <c r="C77" t="s">
        <v>205</v>
      </c>
      <c r="D77" t="s">
        <v>191</v>
      </c>
      <c r="F77" t="s">
        <v>40</v>
      </c>
      <c r="H77" s="12">
        <v>111</v>
      </c>
      <c r="W77" s="12">
        <f t="shared" si="3"/>
        <v>0</v>
      </c>
      <c r="Y77">
        <f t="shared" si="2"/>
        <v>0</v>
      </c>
    </row>
    <row r="78" spans="3:25" ht="12.75">
      <c r="C78" t="s">
        <v>210</v>
      </c>
      <c r="D78" s="4" t="s">
        <v>158</v>
      </c>
      <c r="E78" t="s">
        <v>403</v>
      </c>
      <c r="F78" s="4" t="s">
        <v>385</v>
      </c>
      <c r="H78" s="12">
        <v>93.5</v>
      </c>
      <c r="W78" s="12">
        <f t="shared" si="3"/>
        <v>0</v>
      </c>
      <c r="Y78">
        <f t="shared" si="2"/>
        <v>0</v>
      </c>
    </row>
    <row r="79" spans="3:25" ht="12.75">
      <c r="C79" t="s">
        <v>205</v>
      </c>
      <c r="D79" t="s">
        <v>336</v>
      </c>
      <c r="E79" t="s">
        <v>486</v>
      </c>
      <c r="F79" t="s">
        <v>372</v>
      </c>
      <c r="H79" s="12">
        <v>88</v>
      </c>
      <c r="W79" s="12">
        <f t="shared" si="3"/>
        <v>0</v>
      </c>
      <c r="Y79">
        <f t="shared" si="2"/>
        <v>0</v>
      </c>
    </row>
    <row r="80" spans="3:25" ht="12.75">
      <c r="C80" t="s">
        <v>205</v>
      </c>
      <c r="D80" t="s">
        <v>159</v>
      </c>
      <c r="E80" t="s">
        <v>341</v>
      </c>
      <c r="F80" t="s">
        <v>342</v>
      </c>
      <c r="H80" s="12">
        <v>108</v>
      </c>
      <c r="W80" s="12">
        <f t="shared" si="3"/>
        <v>0</v>
      </c>
      <c r="Y80">
        <f t="shared" si="2"/>
        <v>0</v>
      </c>
    </row>
    <row r="81" spans="3:25" ht="12.75">
      <c r="C81" t="s">
        <v>205</v>
      </c>
      <c r="D81" t="s">
        <v>236</v>
      </c>
      <c r="E81" t="s">
        <v>237</v>
      </c>
      <c r="F81" t="s">
        <v>90</v>
      </c>
      <c r="H81" s="12">
        <v>116</v>
      </c>
      <c r="W81" s="12">
        <f t="shared" si="3"/>
        <v>0</v>
      </c>
      <c r="Y81">
        <f t="shared" si="2"/>
        <v>0</v>
      </c>
    </row>
    <row r="82" spans="3:25" ht="12.75">
      <c r="C82" t="s">
        <v>205</v>
      </c>
      <c r="D82" t="s">
        <v>162</v>
      </c>
      <c r="E82" t="s">
        <v>164</v>
      </c>
      <c r="F82" t="s">
        <v>163</v>
      </c>
      <c r="H82" s="12">
        <v>97</v>
      </c>
      <c r="W82" s="12">
        <f t="shared" si="3"/>
        <v>0</v>
      </c>
      <c r="Y82">
        <f t="shared" si="2"/>
        <v>0</v>
      </c>
    </row>
    <row r="83" spans="3:25" ht="12.75">
      <c r="C83" t="s">
        <v>205</v>
      </c>
      <c r="D83" t="s">
        <v>369</v>
      </c>
      <c r="E83" t="s">
        <v>167</v>
      </c>
      <c r="F83" t="s">
        <v>166</v>
      </c>
      <c r="H83" s="12">
        <v>102</v>
      </c>
      <c r="W83" s="12">
        <f t="shared" si="3"/>
        <v>0</v>
      </c>
      <c r="Y83">
        <f t="shared" si="2"/>
        <v>0</v>
      </c>
    </row>
    <row r="84" spans="3:25" ht="12.75">
      <c r="C84" t="s">
        <v>520</v>
      </c>
      <c r="D84" t="s">
        <v>366</v>
      </c>
      <c r="E84" t="s">
        <v>367</v>
      </c>
      <c r="F84" t="s">
        <v>368</v>
      </c>
      <c r="H84" s="12">
        <v>92</v>
      </c>
      <c r="W84" s="12">
        <f t="shared" si="3"/>
        <v>0</v>
      </c>
      <c r="Y84">
        <f t="shared" si="2"/>
        <v>0</v>
      </c>
    </row>
    <row r="85" spans="3:25" ht="12.75">
      <c r="C85" t="s">
        <v>520</v>
      </c>
      <c r="D85" t="s">
        <v>168</v>
      </c>
      <c r="E85" t="s">
        <v>305</v>
      </c>
      <c r="F85" t="s">
        <v>277</v>
      </c>
      <c r="G85" t="s">
        <v>306</v>
      </c>
      <c r="H85" s="12">
        <v>103</v>
      </c>
      <c r="W85" s="12">
        <f t="shared" si="3"/>
        <v>0</v>
      </c>
      <c r="Y85">
        <f t="shared" si="2"/>
        <v>0</v>
      </c>
    </row>
    <row r="86" spans="3:25" ht="12.75">
      <c r="C86" t="s">
        <v>205</v>
      </c>
      <c r="D86" t="s">
        <v>451</v>
      </c>
      <c r="E86" t="s">
        <v>505</v>
      </c>
      <c r="F86" t="s">
        <v>497</v>
      </c>
      <c r="H86" s="12">
        <v>88</v>
      </c>
      <c r="W86" s="12">
        <f t="shared" si="3"/>
        <v>0</v>
      </c>
      <c r="Y86">
        <f t="shared" si="2"/>
        <v>0</v>
      </c>
    </row>
    <row r="100" ht="12.75">
      <c r="D100" s="16"/>
    </row>
    <row r="102" ht="12.75">
      <c r="Y102">
        <f>SUM(K102:V102)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8" sqref="C18"/>
    </sheetView>
  </sheetViews>
  <sheetFormatPr defaultColWidth="9.140625" defaultRowHeight="12.75"/>
  <cols>
    <col min="7" max="7" width="10.421875" style="0" customWidth="1"/>
  </cols>
  <sheetData>
    <row r="1" ht="12.75">
      <c r="C1" t="s">
        <v>307</v>
      </c>
    </row>
    <row r="2" spans="9:14" ht="12.75">
      <c r="I2" t="s">
        <v>198</v>
      </c>
      <c r="L2" t="s">
        <v>7</v>
      </c>
      <c r="M2" s="16" t="s">
        <v>316</v>
      </c>
      <c r="N2" t="s">
        <v>308</v>
      </c>
    </row>
    <row r="3" spans="1:11" ht="12.75">
      <c r="A3" t="s">
        <v>309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2:14" ht="12.75">
      <c r="B4">
        <v>1</v>
      </c>
      <c r="D4" t="s">
        <v>45</v>
      </c>
      <c r="F4" t="s">
        <v>390</v>
      </c>
      <c r="H4">
        <v>108</v>
      </c>
      <c r="L4">
        <f aca="true" t="shared" si="0" ref="L4:L11">100*(I4*3600+J4*60+K4)/H4</f>
        <v>0</v>
      </c>
      <c r="N4">
        <f aca="true" t="shared" si="1" ref="N4:N11">L4+M4</f>
        <v>0</v>
      </c>
    </row>
    <row r="5" spans="2:14" ht="12.75">
      <c r="B5">
        <v>2</v>
      </c>
      <c r="D5" t="s">
        <v>310</v>
      </c>
      <c r="F5" t="s">
        <v>113</v>
      </c>
      <c r="H5">
        <v>100</v>
      </c>
      <c r="L5">
        <f t="shared" si="0"/>
        <v>0</v>
      </c>
      <c r="N5">
        <f t="shared" si="1"/>
        <v>0</v>
      </c>
    </row>
    <row r="6" spans="2:14" ht="12.75">
      <c r="B6">
        <v>3</v>
      </c>
      <c r="D6" t="s">
        <v>311</v>
      </c>
      <c r="F6" t="s">
        <v>312</v>
      </c>
      <c r="H6">
        <v>114</v>
      </c>
      <c r="L6">
        <f t="shared" si="0"/>
        <v>0</v>
      </c>
      <c r="N6">
        <f t="shared" si="1"/>
        <v>0</v>
      </c>
    </row>
    <row r="7" spans="2:14" ht="12.75">
      <c r="B7">
        <v>4</v>
      </c>
      <c r="D7" t="s">
        <v>313</v>
      </c>
      <c r="F7" t="s">
        <v>113</v>
      </c>
      <c r="H7">
        <v>100</v>
      </c>
      <c r="L7">
        <f t="shared" si="0"/>
        <v>0</v>
      </c>
      <c r="N7">
        <f t="shared" si="1"/>
        <v>0</v>
      </c>
    </row>
    <row r="8" spans="2:14" ht="12.75">
      <c r="B8">
        <v>5</v>
      </c>
      <c r="D8" t="s">
        <v>112</v>
      </c>
      <c r="F8" t="s">
        <v>113</v>
      </c>
      <c r="H8">
        <v>100</v>
      </c>
      <c r="L8">
        <f t="shared" si="0"/>
        <v>0</v>
      </c>
      <c r="N8">
        <f t="shared" si="1"/>
        <v>0</v>
      </c>
    </row>
    <row r="9" spans="2:14" ht="12.75">
      <c r="B9">
        <v>6</v>
      </c>
      <c r="D9" t="s">
        <v>314</v>
      </c>
      <c r="F9" t="s">
        <v>315</v>
      </c>
      <c r="H9">
        <v>116</v>
      </c>
      <c r="L9">
        <f t="shared" si="0"/>
        <v>0</v>
      </c>
      <c r="N9">
        <f t="shared" si="1"/>
        <v>0</v>
      </c>
    </row>
    <row r="10" spans="2:14" ht="12.75">
      <c r="B10">
        <v>7</v>
      </c>
      <c r="D10" t="s">
        <v>189</v>
      </c>
      <c r="F10" t="s">
        <v>124</v>
      </c>
      <c r="H10">
        <v>116</v>
      </c>
      <c r="L10">
        <f t="shared" si="0"/>
        <v>0</v>
      </c>
      <c r="N10">
        <f t="shared" si="1"/>
        <v>0</v>
      </c>
    </row>
    <row r="11" spans="2:14" ht="12.75">
      <c r="B11">
        <v>8</v>
      </c>
      <c r="D11" t="s">
        <v>157</v>
      </c>
      <c r="F11" t="s">
        <v>124</v>
      </c>
      <c r="H11">
        <v>116</v>
      </c>
      <c r="L11">
        <f t="shared" si="0"/>
        <v>0</v>
      </c>
      <c r="N11">
        <f t="shared" si="1"/>
        <v>0</v>
      </c>
    </row>
    <row r="12" ht="12.75">
      <c r="B12">
        <v>9</v>
      </c>
    </row>
    <row r="13" ht="12.75">
      <c r="B13">
        <v>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Hoogovens Staal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Timmerman, J</dc:creator>
  <cp:keywords/>
  <dc:description/>
  <cp:lastModifiedBy>Gebruiker</cp:lastModifiedBy>
  <cp:lastPrinted>2009-04-25T15:32:18Z</cp:lastPrinted>
  <dcterms:created xsi:type="dcterms:W3CDTF">1998-01-12T00:40:09Z</dcterms:created>
  <dcterms:modified xsi:type="dcterms:W3CDTF">2022-06-30T11:03:34Z</dcterms:modified>
  <cp:category/>
  <cp:version/>
  <cp:contentType/>
  <cp:contentStatus/>
</cp:coreProperties>
</file>